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e59ceaca19321fc/1 - J2Bookkeeping/4 - J2 Bookkeeping Clients/LJMO/"/>
    </mc:Choice>
  </mc:AlternateContent>
  <xr:revisionPtr revIDLastSave="3" documentId="11_C109CF8AB1C31A83A13B6C131A99B1775C50D709" xr6:coauthVersionLast="47" xr6:coauthVersionMax="47" xr10:uidLastSave="{C9C93FAF-AEB0-4101-9D22-D6D9693C1DE1}"/>
  <bookViews>
    <workbookView xWindow="-108" yWindow="-108" windowWidth="23256" windowHeight="12456" xr2:uid="{00000000-000D-0000-FFFF-FFFF00000000}"/>
  </bookViews>
  <sheets>
    <sheet name="Trial Bal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5" i="1" l="1"/>
  <c r="C124" i="1"/>
  <c r="D123" i="1"/>
  <c r="D122" i="1"/>
  <c r="C121" i="1"/>
  <c r="C120" i="1"/>
  <c r="D119" i="1"/>
  <c r="D118" i="1"/>
  <c r="D117" i="1"/>
  <c r="C116" i="1"/>
  <c r="C115" i="1"/>
  <c r="D114" i="1"/>
  <c r="C113" i="1"/>
  <c r="C112" i="1"/>
  <c r="C111" i="1"/>
  <c r="C110" i="1"/>
  <c r="C109" i="1"/>
  <c r="D108" i="1"/>
  <c r="C107" i="1"/>
  <c r="C106" i="1"/>
  <c r="C105" i="1"/>
  <c r="C104" i="1"/>
  <c r="C103" i="1"/>
  <c r="C102" i="1"/>
  <c r="C101" i="1"/>
  <c r="D100" i="1"/>
  <c r="C99" i="1"/>
  <c r="D98" i="1"/>
  <c r="D97" i="1"/>
  <c r="C96" i="1"/>
  <c r="C95" i="1"/>
  <c r="C94" i="1"/>
  <c r="D93" i="1"/>
  <c r="C92" i="1"/>
  <c r="D91" i="1"/>
  <c r="C90" i="1"/>
  <c r="D89" i="1"/>
  <c r="C88" i="1"/>
  <c r="C87" i="1"/>
  <c r="D86" i="1"/>
  <c r="C85" i="1"/>
  <c r="C84" i="1"/>
  <c r="D83" i="1"/>
  <c r="C82" i="1"/>
  <c r="C81" i="1"/>
  <c r="C80" i="1"/>
  <c r="D79" i="1"/>
  <c r="C78" i="1"/>
  <c r="C77" i="1"/>
  <c r="C76" i="1"/>
  <c r="D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D59" i="1"/>
  <c r="C58" i="1"/>
  <c r="C57" i="1"/>
  <c r="C56" i="1"/>
  <c r="D55" i="1"/>
  <c r="D54" i="1"/>
  <c r="C53" i="1"/>
  <c r="C52" i="1"/>
  <c r="C51" i="1"/>
  <c r="D50" i="1"/>
  <c r="C49" i="1"/>
  <c r="D48" i="1"/>
  <c r="C47" i="1"/>
  <c r="D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D30" i="1"/>
  <c r="C29" i="1"/>
  <c r="D28" i="1"/>
  <c r="D27" i="1"/>
  <c r="D26" i="1"/>
  <c r="D25" i="1"/>
  <c r="C24" i="1"/>
  <c r="D23" i="1"/>
  <c r="C22" i="1"/>
  <c r="C21" i="1"/>
  <c r="C20" i="1"/>
  <c r="D19" i="1"/>
  <c r="C18" i="1"/>
  <c r="C17" i="1"/>
  <c r="C16" i="1"/>
  <c r="C15" i="1"/>
  <c r="C14" i="1"/>
  <c r="C13" i="1"/>
  <c r="C12" i="1"/>
  <c r="C11" i="1"/>
  <c r="C10" i="1"/>
  <c r="D9" i="1"/>
  <c r="C8" i="1"/>
  <c r="D7" i="1"/>
  <c r="D6" i="1"/>
  <c r="D126" i="1" l="1"/>
  <c r="C126" i="1"/>
</calcChain>
</file>

<file path=xl/sharedStrings.xml><?xml version="1.0" encoding="utf-8"?>
<sst xmlns="http://schemas.openxmlformats.org/spreadsheetml/2006/main" count="127" uniqueCount="127">
  <si>
    <t>Debit</t>
  </si>
  <si>
    <t>Credit</t>
  </si>
  <si>
    <t>Bank of America - 1771</t>
  </si>
  <si>
    <t>Bank of America - 5622</t>
  </si>
  <si>
    <t>Bank of America - 7648</t>
  </si>
  <si>
    <t>Bank of America - 9662</t>
  </si>
  <si>
    <t>Bank of America - HSA</t>
  </si>
  <si>
    <t>Bank of America CD - 2737</t>
  </si>
  <si>
    <t>Bank of America CD - 9363</t>
  </si>
  <si>
    <t>Bank of America CD - 9871</t>
  </si>
  <si>
    <t>Bank of America MMKT - 6308</t>
  </si>
  <si>
    <t>BOA LJMO Media - 9129</t>
  </si>
  <si>
    <t>ML - Edge</t>
  </si>
  <si>
    <t>ML - Holdings #9539</t>
  </si>
  <si>
    <t>ML - IRA #9538</t>
  </si>
  <si>
    <t>ML - LMA #7950</t>
  </si>
  <si>
    <t>ML - Managed #8167</t>
  </si>
  <si>
    <t>Venmo</t>
  </si>
  <si>
    <t>Due To/From Blackfire Ventures</t>
  </si>
  <si>
    <t>Due To/From IHI</t>
  </si>
  <si>
    <t>Due to/from LJMO</t>
  </si>
  <si>
    <t>Due to/from LJMO - 5330</t>
  </si>
  <si>
    <t>Due to/from LJMO 1480</t>
  </si>
  <si>
    <t>Due To/From Stanislav</t>
  </si>
  <si>
    <t>Due To/From Takenbake</t>
  </si>
  <si>
    <t>E-Trade</t>
  </si>
  <si>
    <t>Investments</t>
  </si>
  <si>
    <t>Investments:Blockfolio</t>
  </si>
  <si>
    <t>Investments:Coinbase Investment</t>
  </si>
  <si>
    <t>Investments:Con. Promissory Note:Dronesmith Technologies</t>
  </si>
  <si>
    <t>Investments:Con. Promissory Note:TripCommon</t>
  </si>
  <si>
    <t>Investments:Lending Club</t>
  </si>
  <si>
    <t>Investments:Prime Trust</t>
  </si>
  <si>
    <t>Investments:Retirement:Caesar's Ent Corp 401(K)</t>
  </si>
  <si>
    <t>Investments:Retirement:Edward Jones - 97731</t>
  </si>
  <si>
    <t>Investments:Retirement:Edward Jones - 98231</t>
  </si>
  <si>
    <t>Investments:Retirement:Fidelity - 0017</t>
  </si>
  <si>
    <t>Investments:Retirement:Fidelity - 9408</t>
  </si>
  <si>
    <t>Investments:Retirement:LVSC 401(K)</t>
  </si>
  <si>
    <t>Investments:Retirement:TIAA-CREF - 9272</t>
  </si>
  <si>
    <t>Investments:Securities:1510 Woodburn, LLC</t>
  </si>
  <si>
    <t>Investments:Securities:Aware Systems, LLC</t>
  </si>
  <si>
    <t>Investments:Securities:Bell Street Burritos, LLC</t>
  </si>
  <si>
    <t>Investments:Securities:Betterment</t>
  </si>
  <si>
    <t>Investments:Securities:BRK 7950</t>
  </si>
  <si>
    <t>Investments:Securities:BRK 9539</t>
  </si>
  <si>
    <t>Investments:Securities:CMA Edge 4H03</t>
  </si>
  <si>
    <t>Investments:Securities:CTW Software Investment, LLC</t>
  </si>
  <si>
    <t>Investments:Securities:Edward Jones</t>
  </si>
  <si>
    <t>Investments:Securities:Fidelity - 0496</t>
  </si>
  <si>
    <t>Investments:Securities:Fidelity - 4403</t>
  </si>
  <si>
    <t>Investments:Securities:Merrill Edge - 58Z86</t>
  </si>
  <si>
    <t>Investments:Securities:Motif</t>
  </si>
  <si>
    <t>Investments:Securities:Vanguard</t>
  </si>
  <si>
    <t>Investments:TakeNBake</t>
  </si>
  <si>
    <t>Les CMA - 9242</t>
  </si>
  <si>
    <t>Life Insurance</t>
  </si>
  <si>
    <t>Life Insurance:Northwestern - 1695</t>
  </si>
  <si>
    <t>Life Insurance:Northwestern - 8249</t>
  </si>
  <si>
    <t>Life Insurance:Northwestern - 9051</t>
  </si>
  <si>
    <t>Life Insurance:Northwestern - 9521</t>
  </si>
  <si>
    <t>Morgan Stanley</t>
  </si>
  <si>
    <t>Neurun, Inc.</t>
  </si>
  <si>
    <t>Southern Documentary Fund</t>
  </si>
  <si>
    <t>Upstart</t>
  </si>
  <si>
    <t>Utah 529 Account</t>
  </si>
  <si>
    <t>Auto - Truck</t>
  </si>
  <si>
    <t>Colorado Residence</t>
  </si>
  <si>
    <t>Furniture and Equipment</t>
  </si>
  <si>
    <t>Real Estate:1077 High Point Dr</t>
  </si>
  <si>
    <t>Real Estate:1077 High Point Dr:1077 High Point Dr - Bldg</t>
  </si>
  <si>
    <t>Real Estate:1077 High Point Dr:1077 High Point Dr - Bldg:1077 High Point Accum. Depr.</t>
  </si>
  <si>
    <t>Real Estate:1077 High Point Dr:1077 High Point Dr - Land</t>
  </si>
  <si>
    <t>Real Estate:1480 Cascade Dr</t>
  </si>
  <si>
    <t>Real Estate:1480 Cascade Dr:1480 Cascade - Bldg:Utah - add to Cost Basis - Renovations</t>
  </si>
  <si>
    <t>Real Estate:213 Dessa Rain Dr</t>
  </si>
  <si>
    <t>Real Estate:213 Dessa Rain Dr:213 Dessa Rain - Building</t>
  </si>
  <si>
    <t>Real Estate:213 Dessa Rain Dr:213 Dessa Rain - Land</t>
  </si>
  <si>
    <t>Real Estate:2535 County Line:2535 County Line - Bldg</t>
  </si>
  <si>
    <t>Real Estate:2535 County Line:2535 County Line - Bldg:2535 County Line Accum. Depr.</t>
  </si>
  <si>
    <t>Real Estate:2535 County Line:2535 County Line - Land</t>
  </si>
  <si>
    <t>Real Estate:968 Emory Parc</t>
  </si>
  <si>
    <t>Real Estate:968 Emory Parc:968 Emory Parc Accum. Depr.</t>
  </si>
  <si>
    <t>Real Estate:968 Emory Parc:Fixed Assets - 968 Emory Parc:AC Unit</t>
  </si>
  <si>
    <t>Real Estate:Studioplex - 152</t>
  </si>
  <si>
    <t>Real Estate:Studioplex - 152:Ste - 152 Accumulated Depreciation</t>
  </si>
  <si>
    <t>Real Estate:Studioplex - 230</t>
  </si>
  <si>
    <t>Real Estate:Studioplex - 230:Ste - 230 Accumulated Depreciation</t>
  </si>
  <si>
    <t>Real Estate:Studioplex - 235</t>
  </si>
  <si>
    <t>Real Estate:Studioplex - 235:Ste -235 Accumulated Depreciation</t>
  </si>
  <si>
    <t>Real Estate:Studioplex - 252</t>
  </si>
  <si>
    <t>Real Estate:Studioplex - 252:Fixed Assets - Ste 252:HVAC</t>
  </si>
  <si>
    <t>Real Estate:Studioplex - 252:Refinance Closing Costs</t>
  </si>
  <si>
    <t>Real Estate:Studioplex - 252:Refinance Closing Costs:Ste 252 Closing Costs - Accum. Amtz</t>
  </si>
  <si>
    <t>Real Estate:Studioplex - 252:Ste - 252 Accumulated Depreciation</t>
  </si>
  <si>
    <t>Real Estate:Studioplex - 264</t>
  </si>
  <si>
    <t>Real Estate:Studioplex - 264:Ste -264 Accumulated Depreciation</t>
  </si>
  <si>
    <t>Vehicles:Ford Explorer</t>
  </si>
  <si>
    <t>Vehicles:Porsche Boxster</t>
  </si>
  <si>
    <t>Vehicles:Tesla Model 3</t>
  </si>
  <si>
    <t>Vehicles:Tesla Model X</t>
  </si>
  <si>
    <t>Vehicles:Toyota Prius</t>
  </si>
  <si>
    <t>Vehicles:Toyota Rav4</t>
  </si>
  <si>
    <t>$151K Loan Receivable - Toshira Pryce</t>
  </si>
  <si>
    <t>$151K Loan Receivable - Toshira Pryce:Payments made by Toshira Pryce</t>
  </si>
  <si>
    <t>Other Assets:Artwork</t>
  </si>
  <si>
    <t>Other Assets:Collectible Items</t>
  </si>
  <si>
    <t>Other Assets:Dep on Veh - Faraday &amp; Future</t>
  </si>
  <si>
    <t>Other Assets:Personal Items</t>
  </si>
  <si>
    <t>AMEX - Delta SkyMiles - 87001</t>
  </si>
  <si>
    <t>BOA VISA Infinite - 0623</t>
  </si>
  <si>
    <t>BOA Visa Signature - 2790</t>
  </si>
  <si>
    <t>Chase SW - 0518</t>
  </si>
  <si>
    <t>Nordstrom</t>
  </si>
  <si>
    <t>Chase Auto - Tesla</t>
  </si>
  <si>
    <t>JPMorgan Chase - 252</t>
  </si>
  <si>
    <t>Mortgage Pble - CO.</t>
  </si>
  <si>
    <t>Tesla Note Payable</t>
  </si>
  <si>
    <t>Opening Balance Equity</t>
  </si>
  <si>
    <t>Owner's Equity</t>
  </si>
  <si>
    <t>Retained Earnings</t>
  </si>
  <si>
    <t>Interest Income</t>
  </si>
  <si>
    <t>TOTAL</t>
  </si>
  <si>
    <t>Sunday, Mar 16, 2025 07:37:36 PM GMT-7 - Accrual Basis</t>
  </si>
  <si>
    <t>LJMO-Les O-LJMO 14801470</t>
  </si>
  <si>
    <t>Trial Balance</t>
  </si>
  <si>
    <t>As of March 16,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</si>
</sst>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30"/>
  <sheetViews>
    <sheetView tabSelected="1" topLeftCell="A5" workbookViewId="0">
      <selection activeCell="I14" sqref="I14"/>
    </sheetView>
  </sheetViews>
  <sheetFormatPr defaultRowHeight="14.4" x14ac:dyDescent="0.3"/>
  <cols>
    <col min="1" max="1" width="14.77734375" customWidth="1"/>
    <col min="2" max="2" width="38.109375" customWidth="1"/>
    <col min="3" max="4" width="14.5546875" customWidth="1"/>
  </cols>
  <sheetData>
    <row r="1" spans="2:4" ht="17.399999999999999" x14ac:dyDescent="0.3">
      <c r="B1" s="9" t="s">
        <v>124</v>
      </c>
      <c r="C1" s="8"/>
      <c r="D1" s="8"/>
    </row>
    <row r="2" spans="2:4" ht="17.399999999999999" x14ac:dyDescent="0.3">
      <c r="B2" s="9" t="s">
        <v>125</v>
      </c>
      <c r="C2" s="8"/>
      <c r="D2" s="8"/>
    </row>
    <row r="3" spans="2:4" x14ac:dyDescent="0.3">
      <c r="B3" s="10" t="s">
        <v>126</v>
      </c>
      <c r="C3" s="8"/>
      <c r="D3" s="8"/>
    </row>
    <row r="5" spans="2:4" x14ac:dyDescent="0.3">
      <c r="B5" s="1"/>
      <c r="C5" s="2" t="s">
        <v>0</v>
      </c>
      <c r="D5" s="2" t="s">
        <v>1</v>
      </c>
    </row>
    <row r="6" spans="2:4" x14ac:dyDescent="0.3">
      <c r="B6" s="3" t="s">
        <v>2</v>
      </c>
      <c r="C6" s="4"/>
      <c r="D6" s="5">
        <f>7068.72</f>
        <v>7068.72</v>
      </c>
    </row>
    <row r="7" spans="2:4" x14ac:dyDescent="0.3">
      <c r="B7" s="3" t="s">
        <v>3</v>
      </c>
      <c r="C7" s="4"/>
      <c r="D7" s="5">
        <f>17421.92</f>
        <v>17421.919999999998</v>
      </c>
    </row>
    <row r="8" spans="2:4" x14ac:dyDescent="0.3">
      <c r="B8" s="3" t="s">
        <v>4</v>
      </c>
      <c r="C8" s="5">
        <f>15789.42</f>
        <v>15789.42</v>
      </c>
      <c r="D8" s="4"/>
    </row>
    <row r="9" spans="2:4" x14ac:dyDescent="0.3">
      <c r="B9" s="3" t="s">
        <v>5</v>
      </c>
      <c r="C9" s="4"/>
      <c r="D9" s="5">
        <f>4049.29</f>
        <v>4049.29</v>
      </c>
    </row>
    <row r="10" spans="2:4" x14ac:dyDescent="0.3">
      <c r="B10" s="3" t="s">
        <v>6</v>
      </c>
      <c r="C10" s="5">
        <f>4297.82</f>
        <v>4297.82</v>
      </c>
      <c r="D10" s="4"/>
    </row>
    <row r="11" spans="2:4" x14ac:dyDescent="0.3">
      <c r="B11" s="3" t="s">
        <v>7</v>
      </c>
      <c r="C11" s="5">
        <f>5337.03</f>
        <v>5337.03</v>
      </c>
      <c r="D11" s="4"/>
    </row>
    <row r="12" spans="2:4" x14ac:dyDescent="0.3">
      <c r="B12" s="3" t="s">
        <v>8</v>
      </c>
      <c r="C12" s="5">
        <f>2458.93</f>
        <v>2458.9299999999998</v>
      </c>
      <c r="D12" s="4"/>
    </row>
    <row r="13" spans="2:4" x14ac:dyDescent="0.3">
      <c r="B13" s="3" t="s">
        <v>9</v>
      </c>
      <c r="C13" s="5">
        <f>1103.87</f>
        <v>1103.8699999999999</v>
      </c>
      <c r="D13" s="4"/>
    </row>
    <row r="14" spans="2:4" x14ac:dyDescent="0.3">
      <c r="B14" s="3" t="s">
        <v>10</v>
      </c>
      <c r="C14" s="5">
        <f>1733.14</f>
        <v>1733.14</v>
      </c>
      <c r="D14" s="4"/>
    </row>
    <row r="15" spans="2:4" x14ac:dyDescent="0.3">
      <c r="B15" s="3" t="s">
        <v>11</v>
      </c>
      <c r="C15" s="5">
        <f>0</f>
        <v>0</v>
      </c>
      <c r="D15" s="4"/>
    </row>
    <row r="16" spans="2:4" x14ac:dyDescent="0.3">
      <c r="B16" s="3" t="s">
        <v>12</v>
      </c>
      <c r="C16" s="5">
        <f>20887.8</f>
        <v>20887.8</v>
      </c>
      <c r="D16" s="4"/>
    </row>
    <row r="17" spans="2:4" x14ac:dyDescent="0.3">
      <c r="B17" s="3" t="s">
        <v>13</v>
      </c>
      <c r="C17" s="5">
        <f>925195.54</f>
        <v>925195.54</v>
      </c>
      <c r="D17" s="4"/>
    </row>
    <row r="18" spans="2:4" x14ac:dyDescent="0.3">
      <c r="B18" s="3" t="s">
        <v>14</v>
      </c>
      <c r="C18" s="5">
        <f>676885.9</f>
        <v>676885.9</v>
      </c>
      <c r="D18" s="4"/>
    </row>
    <row r="19" spans="2:4" x14ac:dyDescent="0.3">
      <c r="B19" s="3" t="s">
        <v>15</v>
      </c>
      <c r="C19" s="4"/>
      <c r="D19" s="5">
        <f>1691903.04</f>
        <v>1691903.04</v>
      </c>
    </row>
    <row r="20" spans="2:4" x14ac:dyDescent="0.3">
      <c r="B20" s="3" t="s">
        <v>16</v>
      </c>
      <c r="C20" s="5">
        <f>978948.59</f>
        <v>978948.59</v>
      </c>
      <c r="D20" s="4"/>
    </row>
    <row r="21" spans="2:4" x14ac:dyDescent="0.3">
      <c r="B21" s="3" t="s">
        <v>17</v>
      </c>
      <c r="C21" s="5">
        <f>1442</f>
        <v>1442</v>
      </c>
      <c r="D21" s="4"/>
    </row>
    <row r="22" spans="2:4" x14ac:dyDescent="0.3">
      <c r="B22" s="3" t="s">
        <v>18</v>
      </c>
      <c r="C22" s="5">
        <f>6600</f>
        <v>6600</v>
      </c>
      <c r="D22" s="4"/>
    </row>
    <row r="23" spans="2:4" x14ac:dyDescent="0.3">
      <c r="B23" s="3" t="s">
        <v>19</v>
      </c>
      <c r="C23" s="4"/>
      <c r="D23" s="5">
        <f>28309.04</f>
        <v>28309.040000000001</v>
      </c>
    </row>
    <row r="24" spans="2:4" x14ac:dyDescent="0.3">
      <c r="B24" s="3" t="s">
        <v>20</v>
      </c>
      <c r="C24" s="5">
        <f>243908.23</f>
        <v>243908.23</v>
      </c>
      <c r="D24" s="4"/>
    </row>
    <row r="25" spans="2:4" x14ac:dyDescent="0.3">
      <c r="B25" s="3" t="s">
        <v>21</v>
      </c>
      <c r="C25" s="4"/>
      <c r="D25" s="5">
        <f>117300</f>
        <v>117300</v>
      </c>
    </row>
    <row r="26" spans="2:4" x14ac:dyDescent="0.3">
      <c r="B26" s="3" t="s">
        <v>22</v>
      </c>
      <c r="C26" s="4"/>
      <c r="D26" s="5">
        <f>4000</f>
        <v>4000</v>
      </c>
    </row>
    <row r="27" spans="2:4" x14ac:dyDescent="0.3">
      <c r="B27" s="3" t="s">
        <v>23</v>
      </c>
      <c r="C27" s="4"/>
      <c r="D27" s="5">
        <f>20000</f>
        <v>20000</v>
      </c>
    </row>
    <row r="28" spans="2:4" x14ac:dyDescent="0.3">
      <c r="B28" s="3" t="s">
        <v>24</v>
      </c>
      <c r="C28" s="4"/>
      <c r="D28" s="5">
        <f>4485.5</f>
        <v>4485.5</v>
      </c>
    </row>
    <row r="29" spans="2:4" x14ac:dyDescent="0.3">
      <c r="B29" s="3" t="s">
        <v>25</v>
      </c>
      <c r="C29" s="5">
        <f>17500</f>
        <v>17500</v>
      </c>
      <c r="D29" s="4"/>
    </row>
    <row r="30" spans="2:4" x14ac:dyDescent="0.3">
      <c r="B30" s="3" t="s">
        <v>26</v>
      </c>
      <c r="C30" s="4"/>
      <c r="D30" s="5">
        <f>207388.31</f>
        <v>207388.31</v>
      </c>
    </row>
    <row r="31" spans="2:4" x14ac:dyDescent="0.3">
      <c r="B31" s="3" t="s">
        <v>27</v>
      </c>
      <c r="C31" s="5">
        <f>500</f>
        <v>500</v>
      </c>
      <c r="D31" s="4"/>
    </row>
    <row r="32" spans="2:4" x14ac:dyDescent="0.3">
      <c r="B32" s="3" t="s">
        <v>28</v>
      </c>
      <c r="C32" s="5">
        <f>117192.08</f>
        <v>117192.08</v>
      </c>
      <c r="D32" s="4"/>
    </row>
    <row r="33" spans="2:4" ht="21.6" x14ac:dyDescent="0.3">
      <c r="B33" s="3" t="s">
        <v>29</v>
      </c>
      <c r="C33" s="5">
        <f>26181.51</f>
        <v>26181.51</v>
      </c>
      <c r="D33" s="4"/>
    </row>
    <row r="34" spans="2:4" x14ac:dyDescent="0.3">
      <c r="B34" s="3" t="s">
        <v>30</v>
      </c>
      <c r="C34" s="5">
        <f>25948.95</f>
        <v>25948.95</v>
      </c>
      <c r="D34" s="4"/>
    </row>
    <row r="35" spans="2:4" x14ac:dyDescent="0.3">
      <c r="B35" s="3" t="s">
        <v>31</v>
      </c>
      <c r="C35" s="5">
        <f>2500</f>
        <v>2500</v>
      </c>
      <c r="D35" s="4"/>
    </row>
    <row r="36" spans="2:4" x14ac:dyDescent="0.3">
      <c r="B36" s="3" t="s">
        <v>32</v>
      </c>
      <c r="C36" s="5">
        <f>4850</f>
        <v>4850</v>
      </c>
      <c r="D36" s="4"/>
    </row>
    <row r="37" spans="2:4" x14ac:dyDescent="0.3">
      <c r="B37" s="3" t="s">
        <v>33</v>
      </c>
      <c r="C37" s="5">
        <f>100553.69</f>
        <v>100553.69</v>
      </c>
      <c r="D37" s="4"/>
    </row>
    <row r="38" spans="2:4" x14ac:dyDescent="0.3">
      <c r="B38" s="3" t="s">
        <v>34</v>
      </c>
      <c r="C38" s="5">
        <f>18175.56</f>
        <v>18175.560000000001</v>
      </c>
      <c r="D38" s="4"/>
    </row>
    <row r="39" spans="2:4" x14ac:dyDescent="0.3">
      <c r="B39" s="3" t="s">
        <v>35</v>
      </c>
      <c r="C39" s="5">
        <f>140506.29</f>
        <v>140506.29</v>
      </c>
      <c r="D39" s="4"/>
    </row>
    <row r="40" spans="2:4" x14ac:dyDescent="0.3">
      <c r="B40" s="3" t="s">
        <v>36</v>
      </c>
      <c r="C40" s="5">
        <f>10226.9</f>
        <v>10226.9</v>
      </c>
      <c r="D40" s="4"/>
    </row>
    <row r="41" spans="2:4" x14ac:dyDescent="0.3">
      <c r="B41" s="3" t="s">
        <v>37</v>
      </c>
      <c r="C41" s="5">
        <f>13002.24</f>
        <v>13002.24</v>
      </c>
      <c r="D41" s="4"/>
    </row>
    <row r="42" spans="2:4" x14ac:dyDescent="0.3">
      <c r="B42" s="3" t="s">
        <v>38</v>
      </c>
      <c r="C42" s="5">
        <f>32095.95</f>
        <v>32095.95</v>
      </c>
      <c r="D42" s="4"/>
    </row>
    <row r="43" spans="2:4" x14ac:dyDescent="0.3">
      <c r="B43" s="3" t="s">
        <v>39</v>
      </c>
      <c r="C43" s="5">
        <f>12295.09</f>
        <v>12295.09</v>
      </c>
      <c r="D43" s="4"/>
    </row>
    <row r="44" spans="2:4" x14ac:dyDescent="0.3">
      <c r="B44" s="3" t="s">
        <v>40</v>
      </c>
      <c r="C44" s="5">
        <f>17833.24</f>
        <v>17833.240000000002</v>
      </c>
      <c r="D44" s="4"/>
    </row>
    <row r="45" spans="2:4" x14ac:dyDescent="0.3">
      <c r="B45" s="3" t="s">
        <v>41</v>
      </c>
      <c r="C45" s="5">
        <f>25000</f>
        <v>25000</v>
      </c>
      <c r="D45" s="4"/>
    </row>
    <row r="46" spans="2:4" x14ac:dyDescent="0.3">
      <c r="B46" s="3" t="s">
        <v>42</v>
      </c>
      <c r="C46" s="4"/>
      <c r="D46" s="5">
        <f>17400</f>
        <v>17400</v>
      </c>
    </row>
    <row r="47" spans="2:4" x14ac:dyDescent="0.3">
      <c r="B47" s="3" t="s">
        <v>43</v>
      </c>
      <c r="C47" s="5">
        <f>63246.55</f>
        <v>63246.55</v>
      </c>
      <c r="D47" s="4"/>
    </row>
    <row r="48" spans="2:4" x14ac:dyDescent="0.3">
      <c r="B48" s="3" t="s">
        <v>44</v>
      </c>
      <c r="C48" s="4"/>
      <c r="D48" s="5">
        <f>1620500</f>
        <v>1620500</v>
      </c>
    </row>
    <row r="49" spans="2:4" x14ac:dyDescent="0.3">
      <c r="B49" s="3" t="s">
        <v>45</v>
      </c>
      <c r="C49" s="5">
        <f>165000</f>
        <v>165000</v>
      </c>
      <c r="D49" s="4"/>
    </row>
    <row r="50" spans="2:4" x14ac:dyDescent="0.3">
      <c r="B50" s="3" t="s">
        <v>46</v>
      </c>
      <c r="C50" s="4"/>
      <c r="D50" s="5">
        <f>258500</f>
        <v>258500</v>
      </c>
    </row>
    <row r="51" spans="2:4" ht="21.6" x14ac:dyDescent="0.3">
      <c r="B51" s="3" t="s">
        <v>47</v>
      </c>
      <c r="C51" s="5">
        <f>25000</f>
        <v>25000</v>
      </c>
      <c r="D51" s="4"/>
    </row>
    <row r="52" spans="2:4" x14ac:dyDescent="0.3">
      <c r="B52" s="3" t="s">
        <v>48</v>
      </c>
      <c r="C52" s="5">
        <f>2868.02</f>
        <v>2868.02</v>
      </c>
      <c r="D52" s="4"/>
    </row>
    <row r="53" spans="2:4" x14ac:dyDescent="0.3">
      <c r="B53" s="3" t="s">
        <v>49</v>
      </c>
      <c r="C53" s="5">
        <f>387294.89</f>
        <v>387294.89</v>
      </c>
      <c r="D53" s="4"/>
    </row>
    <row r="54" spans="2:4" x14ac:dyDescent="0.3">
      <c r="B54" s="3" t="s">
        <v>50</v>
      </c>
      <c r="C54" s="4"/>
      <c r="D54" s="5">
        <f>157827.25</f>
        <v>157827.25</v>
      </c>
    </row>
    <row r="55" spans="2:4" x14ac:dyDescent="0.3">
      <c r="B55" s="3" t="s">
        <v>51</v>
      </c>
      <c r="C55" s="4"/>
      <c r="D55" s="5">
        <f>382513.77</f>
        <v>382513.77</v>
      </c>
    </row>
    <row r="56" spans="2:4" x14ac:dyDescent="0.3">
      <c r="B56" s="3" t="s">
        <v>52</v>
      </c>
      <c r="C56" s="5">
        <f>5616.91</f>
        <v>5616.91</v>
      </c>
      <c r="D56" s="4"/>
    </row>
    <row r="57" spans="2:4" x14ac:dyDescent="0.3">
      <c r="B57" s="3" t="s">
        <v>53</v>
      </c>
      <c r="C57" s="5">
        <f>56079.06</f>
        <v>56079.06</v>
      </c>
      <c r="D57" s="4"/>
    </row>
    <row r="58" spans="2:4" x14ac:dyDescent="0.3">
      <c r="B58" s="3" t="s">
        <v>54</v>
      </c>
      <c r="C58" s="5">
        <f>50000</f>
        <v>50000</v>
      </c>
      <c r="D58" s="4"/>
    </row>
    <row r="59" spans="2:4" x14ac:dyDescent="0.3">
      <c r="B59" s="3" t="s">
        <v>55</v>
      </c>
      <c r="C59" s="4"/>
      <c r="D59" s="5">
        <f>314000</f>
        <v>314000</v>
      </c>
    </row>
    <row r="60" spans="2:4" x14ac:dyDescent="0.3">
      <c r="B60" s="3" t="s">
        <v>56</v>
      </c>
      <c r="C60" s="5">
        <f>44091.95</f>
        <v>44091.95</v>
      </c>
      <c r="D60" s="4"/>
    </row>
    <row r="61" spans="2:4" x14ac:dyDescent="0.3">
      <c r="B61" s="3" t="s">
        <v>57</v>
      </c>
      <c r="C61" s="5">
        <f>66473</f>
        <v>66473</v>
      </c>
      <c r="D61" s="4"/>
    </row>
    <row r="62" spans="2:4" x14ac:dyDescent="0.3">
      <c r="B62" s="3" t="s">
        <v>58</v>
      </c>
      <c r="C62" s="5">
        <f>26390</f>
        <v>26390</v>
      </c>
      <c r="D62" s="4"/>
    </row>
    <row r="63" spans="2:4" x14ac:dyDescent="0.3">
      <c r="B63" s="3" t="s">
        <v>59</v>
      </c>
      <c r="C63" s="5">
        <f>141354</f>
        <v>141354</v>
      </c>
      <c r="D63" s="4"/>
    </row>
    <row r="64" spans="2:4" x14ac:dyDescent="0.3">
      <c r="B64" s="3" t="s">
        <v>60</v>
      </c>
      <c r="C64" s="5">
        <f>25213</f>
        <v>25213</v>
      </c>
      <c r="D64" s="4"/>
    </row>
    <row r="65" spans="2:4" x14ac:dyDescent="0.3">
      <c r="B65" s="3" t="s">
        <v>61</v>
      </c>
      <c r="C65" s="5">
        <f>45000</f>
        <v>45000</v>
      </c>
      <c r="D65" s="4"/>
    </row>
    <row r="66" spans="2:4" x14ac:dyDescent="0.3">
      <c r="B66" s="3" t="s">
        <v>62</v>
      </c>
      <c r="C66" s="5">
        <f>60500</f>
        <v>60500</v>
      </c>
      <c r="D66" s="4"/>
    </row>
    <row r="67" spans="2:4" x14ac:dyDescent="0.3">
      <c r="B67" s="3" t="s">
        <v>63</v>
      </c>
      <c r="C67" s="5">
        <f>25000</f>
        <v>25000</v>
      </c>
      <c r="D67" s="4"/>
    </row>
    <row r="68" spans="2:4" x14ac:dyDescent="0.3">
      <c r="B68" s="3" t="s">
        <v>64</v>
      </c>
      <c r="C68" s="5">
        <f>176.09</f>
        <v>176.09</v>
      </c>
      <c r="D68" s="4"/>
    </row>
    <row r="69" spans="2:4" x14ac:dyDescent="0.3">
      <c r="B69" s="3" t="s">
        <v>65</v>
      </c>
      <c r="C69" s="5">
        <f>194719.05</f>
        <v>194719.05</v>
      </c>
      <c r="D69" s="4"/>
    </row>
    <row r="70" spans="2:4" x14ac:dyDescent="0.3">
      <c r="B70" s="3" t="s">
        <v>66</v>
      </c>
      <c r="C70" s="5">
        <f>9476.1</f>
        <v>9476.1</v>
      </c>
      <c r="D70" s="4"/>
    </row>
    <row r="71" spans="2:4" x14ac:dyDescent="0.3">
      <c r="B71" s="3" t="s">
        <v>67</v>
      </c>
      <c r="C71" s="5">
        <f>157305.64</f>
        <v>157305.64000000001</v>
      </c>
      <c r="D71" s="4"/>
    </row>
    <row r="72" spans="2:4" x14ac:dyDescent="0.3">
      <c r="B72" s="3" t="s">
        <v>68</v>
      </c>
      <c r="C72" s="5">
        <f>30107.04</f>
        <v>30107.040000000001</v>
      </c>
      <c r="D72" s="4"/>
    </row>
    <row r="73" spans="2:4" x14ac:dyDescent="0.3">
      <c r="B73" s="3" t="s">
        <v>69</v>
      </c>
      <c r="C73" s="5">
        <f>0</f>
        <v>0</v>
      </c>
      <c r="D73" s="4"/>
    </row>
    <row r="74" spans="2:4" ht="21.6" x14ac:dyDescent="0.3">
      <c r="B74" s="3" t="s">
        <v>70</v>
      </c>
      <c r="C74" s="5">
        <f>233750</f>
        <v>233750</v>
      </c>
      <c r="D74" s="4"/>
    </row>
    <row r="75" spans="2:4" ht="21.6" x14ac:dyDescent="0.3">
      <c r="B75" s="3" t="s">
        <v>71</v>
      </c>
      <c r="C75" s="4"/>
      <c r="D75" s="5">
        <f>76500</f>
        <v>76500</v>
      </c>
    </row>
    <row r="76" spans="2:4" ht="21.6" x14ac:dyDescent="0.3">
      <c r="B76" s="3" t="s">
        <v>72</v>
      </c>
      <c r="C76" s="5">
        <f>41250</f>
        <v>41250</v>
      </c>
      <c r="D76" s="4"/>
    </row>
    <row r="77" spans="2:4" x14ac:dyDescent="0.3">
      <c r="B77" s="3" t="s">
        <v>73</v>
      </c>
      <c r="C77" s="5">
        <f>65000</f>
        <v>65000</v>
      </c>
      <c r="D77" s="4"/>
    </row>
    <row r="78" spans="2:4" ht="21.6" x14ac:dyDescent="0.3">
      <c r="B78" s="3" t="s">
        <v>74</v>
      </c>
      <c r="C78" s="5">
        <f>256808.68</f>
        <v>256808.68</v>
      </c>
      <c r="D78" s="4"/>
    </row>
    <row r="79" spans="2:4" x14ac:dyDescent="0.3">
      <c r="B79" s="3" t="s">
        <v>75</v>
      </c>
      <c r="C79" s="4"/>
      <c r="D79" s="5">
        <f>168053.71</f>
        <v>168053.71</v>
      </c>
    </row>
    <row r="80" spans="2:4" ht="21.6" x14ac:dyDescent="0.3">
      <c r="B80" s="3" t="s">
        <v>76</v>
      </c>
      <c r="C80" s="5">
        <f>193130</f>
        <v>193130</v>
      </c>
      <c r="D80" s="4"/>
    </row>
    <row r="81" spans="2:4" ht="21.6" x14ac:dyDescent="0.3">
      <c r="B81" s="3" t="s">
        <v>77</v>
      </c>
      <c r="C81" s="5">
        <f>23870</f>
        <v>23870</v>
      </c>
      <c r="D81" s="4"/>
    </row>
    <row r="82" spans="2:4" ht="21.6" x14ac:dyDescent="0.3">
      <c r="B82" s="3" t="s">
        <v>78</v>
      </c>
      <c r="C82" s="5">
        <f>66393</f>
        <v>66393</v>
      </c>
      <c r="D82" s="4"/>
    </row>
    <row r="83" spans="2:4" ht="21.6" x14ac:dyDescent="0.3">
      <c r="B83" s="3" t="s">
        <v>79</v>
      </c>
      <c r="C83" s="4"/>
      <c r="D83" s="5">
        <f>1911</f>
        <v>1911</v>
      </c>
    </row>
    <row r="84" spans="2:4" ht="21.6" x14ac:dyDescent="0.3">
      <c r="B84" s="3" t="s">
        <v>80</v>
      </c>
      <c r="C84" s="5">
        <f>11716</f>
        <v>11716</v>
      </c>
      <c r="D84" s="4"/>
    </row>
    <row r="85" spans="2:4" x14ac:dyDescent="0.3">
      <c r="B85" s="3" t="s">
        <v>81</v>
      </c>
      <c r="C85" s="5">
        <f>350000</f>
        <v>350000</v>
      </c>
      <c r="D85" s="4"/>
    </row>
    <row r="86" spans="2:4" ht="21.6" x14ac:dyDescent="0.3">
      <c r="B86" s="3" t="s">
        <v>82</v>
      </c>
      <c r="C86" s="4"/>
      <c r="D86" s="5">
        <f>71406</f>
        <v>71406</v>
      </c>
    </row>
    <row r="87" spans="2:4" ht="21.6" x14ac:dyDescent="0.3">
      <c r="B87" s="3" t="s">
        <v>83</v>
      </c>
      <c r="C87" s="5">
        <f>4988</f>
        <v>4988</v>
      </c>
      <c r="D87" s="4"/>
    </row>
    <row r="88" spans="2:4" x14ac:dyDescent="0.3">
      <c r="B88" s="3" t="s">
        <v>84</v>
      </c>
      <c r="C88" s="5">
        <f>347633</f>
        <v>347633</v>
      </c>
      <c r="D88" s="4"/>
    </row>
    <row r="89" spans="2:4" ht="21.6" x14ac:dyDescent="0.3">
      <c r="B89" s="3" t="s">
        <v>85</v>
      </c>
      <c r="C89" s="4"/>
      <c r="D89" s="5">
        <f>91135</f>
        <v>91135</v>
      </c>
    </row>
    <row r="90" spans="2:4" x14ac:dyDescent="0.3">
      <c r="B90" s="3" t="s">
        <v>86</v>
      </c>
      <c r="C90" s="5">
        <f>337335</f>
        <v>337335</v>
      </c>
      <c r="D90" s="4"/>
    </row>
    <row r="91" spans="2:4" ht="21.6" x14ac:dyDescent="0.3">
      <c r="B91" s="3" t="s">
        <v>87</v>
      </c>
      <c r="C91" s="4"/>
      <c r="D91" s="5">
        <f>5767</f>
        <v>5767</v>
      </c>
    </row>
    <row r="92" spans="2:4" x14ac:dyDescent="0.3">
      <c r="B92" s="3" t="s">
        <v>88</v>
      </c>
      <c r="C92" s="5">
        <f>300367</f>
        <v>300367</v>
      </c>
      <c r="D92" s="4"/>
    </row>
    <row r="93" spans="2:4" ht="21.6" x14ac:dyDescent="0.3">
      <c r="B93" s="3" t="s">
        <v>89</v>
      </c>
      <c r="C93" s="4"/>
      <c r="D93" s="5">
        <f>22464</f>
        <v>22464</v>
      </c>
    </row>
    <row r="94" spans="2:4" x14ac:dyDescent="0.3">
      <c r="B94" s="3" t="s">
        <v>90</v>
      </c>
      <c r="C94" s="5">
        <f>431187</f>
        <v>431187</v>
      </c>
      <c r="D94" s="4"/>
    </row>
    <row r="95" spans="2:4" ht="21.6" x14ac:dyDescent="0.3">
      <c r="B95" s="3" t="s">
        <v>91</v>
      </c>
      <c r="C95" s="5">
        <f>5125</f>
        <v>5125</v>
      </c>
      <c r="D95" s="4"/>
    </row>
    <row r="96" spans="2:4" ht="21.6" x14ac:dyDescent="0.3">
      <c r="B96" s="3" t="s">
        <v>92</v>
      </c>
      <c r="C96" s="5">
        <f>7324</f>
        <v>7324</v>
      </c>
      <c r="D96" s="4"/>
    </row>
    <row r="97" spans="2:4" ht="21.6" x14ac:dyDescent="0.3">
      <c r="B97" s="3" t="s">
        <v>93</v>
      </c>
      <c r="C97" s="4"/>
      <c r="D97" s="5">
        <f>2379</f>
        <v>2379</v>
      </c>
    </row>
    <row r="98" spans="2:4" ht="21.6" x14ac:dyDescent="0.3">
      <c r="B98" s="3" t="s">
        <v>94</v>
      </c>
      <c r="C98" s="4"/>
      <c r="D98" s="5">
        <f>121972</f>
        <v>121972</v>
      </c>
    </row>
    <row r="99" spans="2:4" x14ac:dyDescent="0.3">
      <c r="B99" s="3" t="s">
        <v>95</v>
      </c>
      <c r="C99" s="5">
        <f>346875</f>
        <v>346875</v>
      </c>
      <c r="D99" s="4"/>
    </row>
    <row r="100" spans="2:4" ht="21.6" x14ac:dyDescent="0.3">
      <c r="B100" s="3" t="s">
        <v>96</v>
      </c>
      <c r="C100" s="4"/>
      <c r="D100" s="5">
        <f>17418</f>
        <v>17418</v>
      </c>
    </row>
    <row r="101" spans="2:4" x14ac:dyDescent="0.3">
      <c r="B101" s="3" t="s">
        <v>97</v>
      </c>
      <c r="C101" s="5">
        <f>0</f>
        <v>0</v>
      </c>
      <c r="D101" s="4"/>
    </row>
    <row r="102" spans="2:4" x14ac:dyDescent="0.3">
      <c r="B102" s="3" t="s">
        <v>98</v>
      </c>
      <c r="C102" s="5">
        <f>7354</f>
        <v>7354</v>
      </c>
      <c r="D102" s="4"/>
    </row>
    <row r="103" spans="2:4" x14ac:dyDescent="0.3">
      <c r="B103" s="3" t="s">
        <v>99</v>
      </c>
      <c r="C103" s="5">
        <f>81621.58</f>
        <v>81621.58</v>
      </c>
      <c r="D103" s="4"/>
    </row>
    <row r="104" spans="2:4" x14ac:dyDescent="0.3">
      <c r="B104" s="3" t="s">
        <v>100</v>
      </c>
      <c r="C104" s="5">
        <f>171792</f>
        <v>171792</v>
      </c>
      <c r="D104" s="4"/>
    </row>
    <row r="105" spans="2:4" x14ac:dyDescent="0.3">
      <c r="B105" s="3" t="s">
        <v>101</v>
      </c>
      <c r="C105" s="5">
        <f>17447</f>
        <v>17447</v>
      </c>
      <c r="D105" s="4"/>
    </row>
    <row r="106" spans="2:4" x14ac:dyDescent="0.3">
      <c r="B106" s="3" t="s">
        <v>102</v>
      </c>
      <c r="C106" s="5">
        <f>9939</f>
        <v>9939</v>
      </c>
      <c r="D106" s="4"/>
    </row>
    <row r="107" spans="2:4" x14ac:dyDescent="0.3">
      <c r="B107" s="3" t="s">
        <v>103</v>
      </c>
      <c r="C107" s="5">
        <f>151000</f>
        <v>151000</v>
      </c>
      <c r="D107" s="4"/>
    </row>
    <row r="108" spans="2:4" ht="21.6" x14ac:dyDescent="0.3">
      <c r="B108" s="3" t="s">
        <v>104</v>
      </c>
      <c r="C108" s="4"/>
      <c r="D108" s="5">
        <f>28625.76</f>
        <v>28625.759999999998</v>
      </c>
    </row>
    <row r="109" spans="2:4" x14ac:dyDescent="0.3">
      <c r="B109" s="3" t="s">
        <v>105</v>
      </c>
      <c r="C109" s="5">
        <f>20000</f>
        <v>20000</v>
      </c>
      <c r="D109" s="4"/>
    </row>
    <row r="110" spans="2:4" x14ac:dyDescent="0.3">
      <c r="B110" s="3" t="s">
        <v>106</v>
      </c>
      <c r="C110" s="5">
        <f>6000</f>
        <v>6000</v>
      </c>
      <c r="D110" s="4"/>
    </row>
    <row r="111" spans="2:4" x14ac:dyDescent="0.3">
      <c r="B111" s="3" t="s">
        <v>107</v>
      </c>
      <c r="C111" s="5">
        <f>0</f>
        <v>0</v>
      </c>
      <c r="D111" s="4"/>
    </row>
    <row r="112" spans="2:4" x14ac:dyDescent="0.3">
      <c r="B112" s="3" t="s">
        <v>108</v>
      </c>
      <c r="C112" s="5">
        <f>8900.66</f>
        <v>8900.66</v>
      </c>
      <c r="D112" s="4"/>
    </row>
    <row r="113" spans="2:4" x14ac:dyDescent="0.3">
      <c r="B113" s="3" t="s">
        <v>109</v>
      </c>
      <c r="C113" s="5">
        <f>882014.75</f>
        <v>882014.75</v>
      </c>
      <c r="D113" s="4"/>
    </row>
    <row r="114" spans="2:4" x14ac:dyDescent="0.3">
      <c r="B114" s="3" t="s">
        <v>110</v>
      </c>
      <c r="C114" s="4"/>
      <c r="D114" s="5">
        <f>34202.75</f>
        <v>34202.75</v>
      </c>
    </row>
    <row r="115" spans="2:4" x14ac:dyDescent="0.3">
      <c r="B115" s="3" t="s">
        <v>111</v>
      </c>
      <c r="C115" s="5">
        <f>3185.24</f>
        <v>3185.24</v>
      </c>
      <c r="D115" s="4"/>
    </row>
    <row r="116" spans="2:4" x14ac:dyDescent="0.3">
      <c r="B116" s="3" t="s">
        <v>112</v>
      </c>
      <c r="C116" s="5">
        <f>49438.62</f>
        <v>49438.62</v>
      </c>
      <c r="D116" s="4"/>
    </row>
    <row r="117" spans="2:4" x14ac:dyDescent="0.3">
      <c r="B117" s="3" t="s">
        <v>113</v>
      </c>
      <c r="C117" s="4"/>
      <c r="D117" s="5">
        <f>0</f>
        <v>0</v>
      </c>
    </row>
    <row r="118" spans="2:4" x14ac:dyDescent="0.3">
      <c r="B118" s="3" t="s">
        <v>114</v>
      </c>
      <c r="C118" s="4"/>
      <c r="D118" s="5">
        <f>132170</f>
        <v>132170</v>
      </c>
    </row>
    <row r="119" spans="2:4" x14ac:dyDescent="0.3">
      <c r="B119" s="3" t="s">
        <v>115</v>
      </c>
      <c r="C119" s="4"/>
      <c r="D119" s="5">
        <f>37301.53</f>
        <v>37301.53</v>
      </c>
    </row>
    <row r="120" spans="2:4" x14ac:dyDescent="0.3">
      <c r="B120" s="3" t="s">
        <v>116</v>
      </c>
      <c r="C120" s="5">
        <f>355008.05</f>
        <v>355008.05</v>
      </c>
      <c r="D120" s="4"/>
    </row>
    <row r="121" spans="2:4" x14ac:dyDescent="0.3">
      <c r="B121" s="3" t="s">
        <v>117</v>
      </c>
      <c r="C121" s="5">
        <f>133861.5</f>
        <v>133861.5</v>
      </c>
      <c r="D121" s="4"/>
    </row>
    <row r="122" spans="2:4" x14ac:dyDescent="0.3">
      <c r="B122" s="3" t="s">
        <v>118</v>
      </c>
      <c r="C122" s="4"/>
      <c r="D122" s="5">
        <f>1448214.72</f>
        <v>1448214.72</v>
      </c>
    </row>
    <row r="123" spans="2:4" x14ac:dyDescent="0.3">
      <c r="B123" s="3" t="s">
        <v>119</v>
      </c>
      <c r="C123" s="4"/>
      <c r="D123" s="5">
        <f>4267386.54</f>
        <v>4267386.54</v>
      </c>
    </row>
    <row r="124" spans="2:4" x14ac:dyDescent="0.3">
      <c r="B124" s="3" t="s">
        <v>120</v>
      </c>
      <c r="C124" s="5">
        <f>1429398.71</f>
        <v>1429398.71</v>
      </c>
      <c r="D124" s="4"/>
    </row>
    <row r="125" spans="2:4" x14ac:dyDescent="0.3">
      <c r="B125" s="3" t="s">
        <v>121</v>
      </c>
      <c r="C125" s="4"/>
      <c r="D125" s="5">
        <f>0.01</f>
        <v>0.01</v>
      </c>
    </row>
    <row r="126" spans="2:4" x14ac:dyDescent="0.3">
      <c r="B126" s="3" t="s">
        <v>122</v>
      </c>
      <c r="C126" s="6">
        <f>(((((((((((((((((((((((((((((((((((((((((((((((((((((((((((((((((((((((((((((((((((((((((((((((((((((((((((((((((((((((C6)+(C7))+(C8))+(C9))+(C10))+(C11))+(C12))+(C13))+(C14))+(C15))+(C16))+(C17))+(C18))+(C19))+(C20))+(C21))+(C22))+(C23))+(C24))+(C25))+(C26))+(C27))+(C28))+(C29))+(C30))+(C31))+(C32))+(C33))+(C34))+(C35))+(C36))+(C37))+(C38))+(C39))+(C40))+(C41))+(C42))+(C43))+(C44))+(C45))+(C46))+(C47))+(C48))+(C49))+(C50))+(C51))+(C52))+(C53))+(C54))+(C55))+(C56))+(C57))+(C58))+(C59))+(C60))+(C61))+(C62))+(C63))+(C64))+(C65))+(C66))+(C67))+(C68))+(C69))+(C70))+(C71))+(C72))+(C73))+(C74))+(C75))+(C76))+(C77))+(C78))+(C79))+(C80))+(C81))+(C82))+(C83))+(C84))+(C85))+(C86))+(C87))+(C88))+(C89))+(C90))+(C91))+(C92))+(C93))+(C94))+(C95))+(C96))+(C97))+(C98))+(C99))+(C100))+(C101))+(C102))+(C103))+(C104))+(C105))+(C106))+(C107))+(C108))+(C109))+(C110))+(C111))+(C112))+(C113))+(C114))+(C115))+(C116))+(C117))+(C118))+(C119))+(C120))+(C121))+(C122))+(C123))+(C124))+(C125)</f>
        <v>11379573.859999999</v>
      </c>
      <c r="D126" s="6">
        <f>(((((((((((((((((((((((((((((((((((((((((((((((((((((((((((((((((((((((((((((((((((((((((((((((((((((((((((((((((((((((D6)+(D7))+(D8))+(D9))+(D10))+(D11))+(D12))+(D13))+(D14))+(D15))+(D16))+(D17))+(D18))+(D19))+(D20))+(D21))+(D22))+(D23))+(D24))+(D25))+(D26))+(D27))+(D28))+(D29))+(D30))+(D31))+(D32))+(D33))+(D34))+(D35))+(D36))+(D37))+(D38))+(D39))+(D40))+(D41))+(D42))+(D43))+(D44))+(D45))+(D46))+(D47))+(D48))+(D49))+(D50))+(D51))+(D52))+(D53))+(D54))+(D55))+(D56))+(D57))+(D58))+(D59))+(D60))+(D61))+(D62))+(D63))+(D64))+(D65))+(D66))+(D67))+(D68))+(D69))+(D70))+(D71))+(D72))+(D73))+(D74))+(D75))+(D76))+(D77))+(D78))+(D79))+(D80))+(D81))+(D82))+(D83))+(D84))+(D85))+(D86))+(D87))+(D88))+(D89))+(D90))+(D91))+(D92))+(D93))+(D94))+(D95))+(D96))+(D97))+(D98))+(D99))+(D100))+(D101))+(D102))+(D103))+(D104))+(D105))+(D106))+(D107))+(D108))+(D109))+(D110))+(D111))+(D112))+(D113))+(D114))+(D115))+(D116))+(D117))+(D118))+(D119))+(D120))+(D121))+(D122))+(D123))+(D124))+(D125)</f>
        <v>11379573.859999999</v>
      </c>
    </row>
    <row r="127" spans="2:4" x14ac:dyDescent="0.3">
      <c r="B127" s="3"/>
      <c r="C127" s="4"/>
      <c r="D127" s="4"/>
    </row>
    <row r="130" spans="2:4" x14ac:dyDescent="0.3">
      <c r="B130" s="7" t="s">
        <v>123</v>
      </c>
      <c r="C130" s="8"/>
      <c r="D130" s="8"/>
    </row>
  </sheetData>
  <mergeCells count="4">
    <mergeCell ref="B130:D130"/>
    <mergeCell ref="B1:D1"/>
    <mergeCell ref="B2:D2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Trial Balance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Jimmie Needles</cp:lastModifiedBy>
  <dcterms:created xsi:type="dcterms:W3CDTF">2025-03-17T02:37:36Z</dcterms:created>
  <dcterms:modified xsi:type="dcterms:W3CDTF">2025-03-17T15:03:50Z</dcterms:modified>
</cp:coreProperties>
</file>