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emcb\Documents\MEGA\Consulting - New Business\VIP Play - Les\Loop TV\Budgeting\"/>
    </mc:Choice>
  </mc:AlternateContent>
  <xr:revisionPtr revIDLastSave="0" documentId="13_ncr:1_{4BFD952F-96D6-42FA-ACDF-FC3462F7EDF3}" xr6:coauthVersionLast="47" xr6:coauthVersionMax="47" xr10:uidLastSave="{00000000-0000-0000-0000-000000000000}"/>
  <bookViews>
    <workbookView xWindow="1524" yWindow="240" windowWidth="20808" windowHeight="12144" tabRatio="863" xr2:uid="{00000000-000D-0000-FFFF-FFFF00000000}"/>
  </bookViews>
  <sheets>
    <sheet name="COGS-Opex-Capex" sheetId="10" r:id="rId1"/>
    <sheet name="Headcount" sheetId="12" r:id="rId2"/>
    <sheet name="Sheet2" sheetId="16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EEf7FEoN++BUeFYGKnZkKhFx/dD9HAaQKOgAyYlCx14="/>
    </ext>
  </extLst>
</workbook>
</file>

<file path=xl/calcChain.xml><?xml version="1.0" encoding="utf-8"?>
<calcChain xmlns="http://schemas.openxmlformats.org/spreadsheetml/2006/main">
  <c r="P110" i="10" l="1"/>
  <c r="O10" i="10"/>
  <c r="E10" i="10"/>
  <c r="F10" i="10"/>
  <c r="G10" i="10"/>
  <c r="H10" i="10"/>
  <c r="O8" i="10"/>
  <c r="O9" i="10" s="1"/>
  <c r="E19" i="10" l="1"/>
  <c r="C7" i="10"/>
  <c r="C9" i="10"/>
  <c r="C52" i="10"/>
  <c r="C63" i="10"/>
  <c r="C74" i="10"/>
  <c r="C82" i="10"/>
  <c r="C95" i="10"/>
  <c r="C104" i="10"/>
  <c r="C131" i="10"/>
  <c r="C137" i="10"/>
  <c r="D107" i="12"/>
  <c r="E107" i="12"/>
  <c r="F107" i="12"/>
  <c r="G107" i="12"/>
  <c r="H107" i="12"/>
  <c r="I107" i="12"/>
  <c r="C107" i="10" l="1"/>
  <c r="E54" i="10" l="1"/>
  <c r="F54" i="10"/>
  <c r="G54" i="10"/>
  <c r="H54" i="10"/>
  <c r="I54" i="10"/>
  <c r="J54" i="10"/>
  <c r="K54" i="10"/>
  <c r="L54" i="10"/>
  <c r="M54" i="10"/>
  <c r="N54" i="10"/>
  <c r="O54" i="10"/>
  <c r="D78" i="12"/>
  <c r="E78" i="12"/>
  <c r="F78" i="12"/>
  <c r="G78" i="12"/>
  <c r="H78" i="12"/>
  <c r="I78" i="12"/>
  <c r="J78" i="12"/>
  <c r="K78" i="12"/>
  <c r="L78" i="12"/>
  <c r="M78" i="12"/>
  <c r="N78" i="12"/>
  <c r="O78" i="12"/>
  <c r="D79" i="12"/>
  <c r="F79" i="12"/>
  <c r="G79" i="12"/>
  <c r="H79" i="12"/>
  <c r="I79" i="12"/>
  <c r="J79" i="12"/>
  <c r="K79" i="12"/>
  <c r="L79" i="12"/>
  <c r="M79" i="12"/>
  <c r="N79" i="12"/>
  <c r="O79" i="12"/>
  <c r="C79" i="12"/>
  <c r="C78" i="12"/>
  <c r="D112" i="12"/>
  <c r="E112" i="12"/>
  <c r="F112" i="12"/>
  <c r="G112" i="12"/>
  <c r="H112" i="12"/>
  <c r="I112" i="12"/>
  <c r="J112" i="12"/>
  <c r="K112" i="12"/>
  <c r="L112" i="12"/>
  <c r="M112" i="12"/>
  <c r="N112" i="12"/>
  <c r="O112" i="12"/>
  <c r="C112" i="12"/>
  <c r="I91" i="12"/>
  <c r="J91" i="12"/>
  <c r="E41" i="12"/>
  <c r="F41" i="12"/>
  <c r="G41" i="12"/>
  <c r="H41" i="12"/>
  <c r="I41" i="12"/>
  <c r="J41" i="12"/>
  <c r="K41" i="12"/>
  <c r="L41" i="12"/>
  <c r="M41" i="12"/>
  <c r="N41" i="12"/>
  <c r="O41" i="12"/>
  <c r="E43" i="12"/>
  <c r="F43" i="12"/>
  <c r="G43" i="12"/>
  <c r="H43" i="12"/>
  <c r="I43" i="12"/>
  <c r="J43" i="12"/>
  <c r="K43" i="12"/>
  <c r="L43" i="12"/>
  <c r="M43" i="12"/>
  <c r="N43" i="12"/>
  <c r="O43" i="12"/>
  <c r="E45" i="12"/>
  <c r="F45" i="12"/>
  <c r="G45" i="12"/>
  <c r="H45" i="12"/>
  <c r="I45" i="12"/>
  <c r="J45" i="12"/>
  <c r="K45" i="12"/>
  <c r="L45" i="12"/>
  <c r="M45" i="12"/>
  <c r="N45" i="12"/>
  <c r="O45" i="12"/>
  <c r="E47" i="12"/>
  <c r="F47" i="12"/>
  <c r="G47" i="12"/>
  <c r="H47" i="12"/>
  <c r="I47" i="12"/>
  <c r="J47" i="12"/>
  <c r="K47" i="12"/>
  <c r="L47" i="12"/>
  <c r="M47" i="12"/>
  <c r="N47" i="12"/>
  <c r="O47" i="12"/>
  <c r="E49" i="12"/>
  <c r="F49" i="12"/>
  <c r="G49" i="12"/>
  <c r="H49" i="12"/>
  <c r="I49" i="12"/>
  <c r="J49" i="12"/>
  <c r="K49" i="12"/>
  <c r="L49" i="12"/>
  <c r="M49" i="12"/>
  <c r="N49" i="12"/>
  <c r="O49" i="12"/>
  <c r="I46" i="10"/>
  <c r="F19" i="10"/>
  <c r="G19" i="10"/>
  <c r="H19" i="10"/>
  <c r="I19" i="10"/>
  <c r="J19" i="10"/>
  <c r="K19" i="10"/>
  <c r="L19" i="10"/>
  <c r="M19" i="10"/>
  <c r="N19" i="10"/>
  <c r="O19" i="10"/>
  <c r="F21" i="10"/>
  <c r="G21" i="10"/>
  <c r="H21" i="10"/>
  <c r="I21" i="10"/>
  <c r="J21" i="10"/>
  <c r="K21" i="10"/>
  <c r="L21" i="10"/>
  <c r="M21" i="10"/>
  <c r="N21" i="10"/>
  <c r="O21" i="10"/>
  <c r="F25" i="10"/>
  <c r="G25" i="10"/>
  <c r="H25" i="10"/>
  <c r="I25" i="10"/>
  <c r="J25" i="10"/>
  <c r="K25" i="10"/>
  <c r="L25" i="10"/>
  <c r="M25" i="10"/>
  <c r="N25" i="10"/>
  <c r="O25" i="10"/>
  <c r="F26" i="10"/>
  <c r="G26" i="10"/>
  <c r="H26" i="10"/>
  <c r="I26" i="10"/>
  <c r="J26" i="10"/>
  <c r="K26" i="10"/>
  <c r="L26" i="10"/>
  <c r="M26" i="10"/>
  <c r="N26" i="10"/>
  <c r="O26" i="10"/>
  <c r="F27" i="10"/>
  <c r="G27" i="10"/>
  <c r="H27" i="10"/>
  <c r="I27" i="10"/>
  <c r="J27" i="10"/>
  <c r="K27" i="10"/>
  <c r="L27" i="10"/>
  <c r="M27" i="10"/>
  <c r="N27" i="10"/>
  <c r="O27" i="10"/>
  <c r="F28" i="10"/>
  <c r="G28" i="10"/>
  <c r="H28" i="10"/>
  <c r="I28" i="10"/>
  <c r="J28" i="10"/>
  <c r="K28" i="10"/>
  <c r="L28" i="10"/>
  <c r="M28" i="10"/>
  <c r="N28" i="10"/>
  <c r="O28" i="10"/>
  <c r="F29" i="10"/>
  <c r="G29" i="10"/>
  <c r="H29" i="10"/>
  <c r="I29" i="10"/>
  <c r="J29" i="10"/>
  <c r="K29" i="10"/>
  <c r="L29" i="10"/>
  <c r="M29" i="10"/>
  <c r="N29" i="10"/>
  <c r="O29" i="10"/>
  <c r="F30" i="10"/>
  <c r="G30" i="10"/>
  <c r="H30" i="10"/>
  <c r="I30" i="10"/>
  <c r="J30" i="10"/>
  <c r="K30" i="10"/>
  <c r="L30" i="10"/>
  <c r="M30" i="10"/>
  <c r="N30" i="10"/>
  <c r="O30" i="10"/>
  <c r="F31" i="10"/>
  <c r="G31" i="10"/>
  <c r="H31" i="10"/>
  <c r="I31" i="10"/>
  <c r="J31" i="10"/>
  <c r="K31" i="10"/>
  <c r="L31" i="10"/>
  <c r="M31" i="10"/>
  <c r="N31" i="10"/>
  <c r="O31" i="10"/>
  <c r="F32" i="10"/>
  <c r="G32" i="10"/>
  <c r="H32" i="10"/>
  <c r="I32" i="10"/>
  <c r="J32" i="10"/>
  <c r="K32" i="10"/>
  <c r="L32" i="10"/>
  <c r="M32" i="10"/>
  <c r="N32" i="10"/>
  <c r="O32" i="10"/>
  <c r="F33" i="10"/>
  <c r="G33" i="10"/>
  <c r="H33" i="10"/>
  <c r="I33" i="10"/>
  <c r="J33" i="10"/>
  <c r="K33" i="10"/>
  <c r="L33" i="10"/>
  <c r="M33" i="10"/>
  <c r="N33" i="10"/>
  <c r="O33" i="10"/>
  <c r="F34" i="10"/>
  <c r="G34" i="10"/>
  <c r="H34" i="10"/>
  <c r="I34" i="10"/>
  <c r="J34" i="10"/>
  <c r="K34" i="10"/>
  <c r="L34" i="10"/>
  <c r="M34" i="10"/>
  <c r="N34" i="10"/>
  <c r="O34" i="10"/>
  <c r="F35" i="10"/>
  <c r="G35" i="10"/>
  <c r="H35" i="10"/>
  <c r="I35" i="10"/>
  <c r="J35" i="10"/>
  <c r="K35" i="10"/>
  <c r="L35" i="10"/>
  <c r="M35" i="10"/>
  <c r="N35" i="10"/>
  <c r="O35" i="10"/>
  <c r="F36" i="10"/>
  <c r="G36" i="10"/>
  <c r="H36" i="10"/>
  <c r="I36" i="10"/>
  <c r="J36" i="10"/>
  <c r="K36" i="10"/>
  <c r="L36" i="10"/>
  <c r="M36" i="10"/>
  <c r="N36" i="10"/>
  <c r="O36" i="10"/>
  <c r="F37" i="10"/>
  <c r="G37" i="10"/>
  <c r="H37" i="10"/>
  <c r="I37" i="10"/>
  <c r="J37" i="10"/>
  <c r="K37" i="10"/>
  <c r="L37" i="10"/>
  <c r="M37" i="10"/>
  <c r="N37" i="10"/>
  <c r="O37" i="10"/>
  <c r="F38" i="10"/>
  <c r="G38" i="10"/>
  <c r="H38" i="10"/>
  <c r="I38" i="10"/>
  <c r="J38" i="10"/>
  <c r="K38" i="10"/>
  <c r="L38" i="10"/>
  <c r="M38" i="10"/>
  <c r="N38" i="10"/>
  <c r="O38" i="10"/>
  <c r="F39" i="10"/>
  <c r="G39" i="10"/>
  <c r="H39" i="10"/>
  <c r="I39" i="10"/>
  <c r="J39" i="10"/>
  <c r="K39" i="10"/>
  <c r="L39" i="10"/>
  <c r="M39" i="10"/>
  <c r="N39" i="10"/>
  <c r="O39" i="10"/>
  <c r="F40" i="10"/>
  <c r="G40" i="10"/>
  <c r="H40" i="10"/>
  <c r="I40" i="10"/>
  <c r="J40" i="10"/>
  <c r="K40" i="10"/>
  <c r="L40" i="10"/>
  <c r="M40" i="10"/>
  <c r="N40" i="10"/>
  <c r="O40" i="10"/>
  <c r="F41" i="10"/>
  <c r="G41" i="10"/>
  <c r="H41" i="10"/>
  <c r="I41" i="10"/>
  <c r="J41" i="10"/>
  <c r="K41" i="10"/>
  <c r="L41" i="10"/>
  <c r="M41" i="10"/>
  <c r="N41" i="10"/>
  <c r="O41" i="10"/>
  <c r="F42" i="10"/>
  <c r="G42" i="10"/>
  <c r="H42" i="10"/>
  <c r="I42" i="10"/>
  <c r="J42" i="10"/>
  <c r="K42" i="10"/>
  <c r="L42" i="10"/>
  <c r="M42" i="10"/>
  <c r="N42" i="10"/>
  <c r="O42" i="10"/>
  <c r="F43" i="10"/>
  <c r="G43" i="10"/>
  <c r="H43" i="10"/>
  <c r="I43" i="10"/>
  <c r="J43" i="10"/>
  <c r="K43" i="10"/>
  <c r="L43" i="10"/>
  <c r="M43" i="10"/>
  <c r="N43" i="10"/>
  <c r="O43" i="10"/>
  <c r="F44" i="10"/>
  <c r="G44" i="10"/>
  <c r="H44" i="10"/>
  <c r="I44" i="10"/>
  <c r="J44" i="10"/>
  <c r="K44" i="10"/>
  <c r="L44" i="10"/>
  <c r="M44" i="10"/>
  <c r="N44" i="10"/>
  <c r="O44" i="10"/>
  <c r="F46" i="10"/>
  <c r="G46" i="10"/>
  <c r="H46" i="10"/>
  <c r="F48" i="10"/>
  <c r="G48" i="10"/>
  <c r="H48" i="10"/>
  <c r="I48" i="10"/>
  <c r="J48" i="10"/>
  <c r="K48" i="10"/>
  <c r="L48" i="10"/>
  <c r="M48" i="10"/>
  <c r="N48" i="10"/>
  <c r="O48" i="10"/>
  <c r="E46" i="10" l="1"/>
  <c r="P46" i="10" l="1"/>
  <c r="P47" i="10" s="1"/>
  <c r="C83" i="12"/>
  <c r="D83" i="12"/>
  <c r="E83" i="12"/>
  <c r="F83" i="12"/>
  <c r="C85" i="12"/>
  <c r="D85" i="12"/>
  <c r="E85" i="12"/>
  <c r="F85" i="12"/>
  <c r="C87" i="12"/>
  <c r="D87" i="12"/>
  <c r="E87" i="12"/>
  <c r="F87" i="12"/>
  <c r="P118" i="12" l="1"/>
  <c r="B77" i="12"/>
  <c r="P132" i="10" l="1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 l="1"/>
  <c r="E92" i="10" l="1"/>
  <c r="F92" i="10" s="1"/>
  <c r="G92" i="10" s="1"/>
  <c r="H92" i="10" s="1"/>
  <c r="I92" i="10" s="1"/>
  <c r="J92" i="10" s="1"/>
  <c r="K92" i="10" s="1"/>
  <c r="L92" i="10" s="1"/>
  <c r="M92" i="10" s="1"/>
  <c r="N92" i="10" s="1"/>
  <c r="O92" i="10" s="1"/>
  <c r="D98" i="12" l="1"/>
  <c r="E98" i="12"/>
  <c r="F98" i="12"/>
  <c r="G98" i="12"/>
  <c r="H98" i="12"/>
  <c r="I98" i="12"/>
  <c r="J98" i="12"/>
  <c r="K98" i="12"/>
  <c r="L98" i="12"/>
  <c r="M98" i="12"/>
  <c r="N98" i="12"/>
  <c r="O98" i="12"/>
  <c r="C98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107" i="12" l="1"/>
  <c r="B105" i="12"/>
  <c r="C9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C68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O107" i="12"/>
  <c r="N107" i="12"/>
  <c r="M107" i="12"/>
  <c r="L107" i="12"/>
  <c r="K107" i="12"/>
  <c r="J107" i="12"/>
  <c r="C107" i="12"/>
  <c r="O103" i="12"/>
  <c r="N103" i="12"/>
  <c r="M103" i="12"/>
  <c r="M113" i="12" s="1"/>
  <c r="L103" i="12"/>
  <c r="L113" i="12" s="1"/>
  <c r="K103" i="12"/>
  <c r="K113" i="12" s="1"/>
  <c r="J103" i="12"/>
  <c r="J113" i="12" s="1"/>
  <c r="I103" i="12"/>
  <c r="I113" i="12" s="1"/>
  <c r="H103" i="12"/>
  <c r="G103" i="12"/>
  <c r="F103" i="12"/>
  <c r="E103" i="12"/>
  <c r="D103" i="12"/>
  <c r="D113" i="12" s="1"/>
  <c r="C103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O91" i="12"/>
  <c r="N91" i="12"/>
  <c r="M91" i="12"/>
  <c r="L91" i="12"/>
  <c r="K91" i="12"/>
  <c r="H91" i="12"/>
  <c r="G91" i="12"/>
  <c r="F91" i="12"/>
  <c r="E91" i="12"/>
  <c r="D91" i="12"/>
  <c r="C91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O87" i="12"/>
  <c r="N87" i="12"/>
  <c r="M87" i="12"/>
  <c r="L87" i="12"/>
  <c r="K87" i="12"/>
  <c r="J87" i="12"/>
  <c r="I87" i="12"/>
  <c r="H87" i="12"/>
  <c r="G87" i="12"/>
  <c r="O85" i="12"/>
  <c r="N85" i="12"/>
  <c r="M85" i="12"/>
  <c r="L85" i="12"/>
  <c r="K85" i="12"/>
  <c r="J85" i="12"/>
  <c r="I85" i="12"/>
  <c r="H85" i="12"/>
  <c r="G85" i="12"/>
  <c r="O83" i="12"/>
  <c r="N83" i="12"/>
  <c r="M83" i="12"/>
  <c r="L83" i="12"/>
  <c r="K83" i="12"/>
  <c r="J83" i="12"/>
  <c r="I83" i="12"/>
  <c r="H83" i="12"/>
  <c r="G83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O73" i="12"/>
  <c r="N73" i="12"/>
  <c r="M73" i="12"/>
  <c r="L73" i="12"/>
  <c r="K73" i="12"/>
  <c r="J73" i="12"/>
  <c r="I73" i="12"/>
  <c r="H73" i="12"/>
  <c r="G73" i="12"/>
  <c r="F73" i="12"/>
  <c r="E73" i="12"/>
  <c r="E79" i="12" s="1"/>
  <c r="D73" i="12"/>
  <c r="C73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27" i="12"/>
  <c r="O27" i="12" s="1"/>
  <c r="D50" i="12"/>
  <c r="E50" i="12"/>
  <c r="F50" i="12"/>
  <c r="G50" i="12"/>
  <c r="H50" i="12"/>
  <c r="I50" i="12"/>
  <c r="J50" i="12"/>
  <c r="K50" i="12"/>
  <c r="L50" i="12"/>
  <c r="M50" i="12"/>
  <c r="N50" i="12"/>
  <c r="O50" i="12"/>
  <c r="C50" i="12"/>
  <c r="D49" i="12"/>
  <c r="C49" i="12"/>
  <c r="D47" i="12"/>
  <c r="C47" i="12"/>
  <c r="D45" i="12"/>
  <c r="C45" i="12"/>
  <c r="D43" i="12"/>
  <c r="C43" i="12"/>
  <c r="D41" i="12"/>
  <c r="C41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15" i="12"/>
  <c r="N113" i="12" l="1"/>
  <c r="C113" i="12"/>
  <c r="O113" i="12"/>
  <c r="F113" i="12"/>
  <c r="G113" i="12"/>
  <c r="E113" i="12"/>
  <c r="H113" i="12"/>
  <c r="E27" i="12"/>
  <c r="L27" i="12"/>
  <c r="L51" i="12" s="1"/>
  <c r="M27" i="12"/>
  <c r="M51" i="12" s="1"/>
  <c r="H27" i="12"/>
  <c r="H51" i="12" s="1"/>
  <c r="I27" i="12"/>
  <c r="I51" i="12" s="1"/>
  <c r="D27" i="12"/>
  <c r="D51" i="12" s="1"/>
  <c r="E99" i="12"/>
  <c r="I99" i="12"/>
  <c r="E69" i="12"/>
  <c r="I69" i="12"/>
  <c r="M69" i="12"/>
  <c r="F99" i="12"/>
  <c r="N99" i="12"/>
  <c r="C99" i="12"/>
  <c r="G99" i="12"/>
  <c r="K99" i="12"/>
  <c r="O99" i="12"/>
  <c r="J99" i="12"/>
  <c r="D99" i="12"/>
  <c r="H99" i="12"/>
  <c r="L99" i="12"/>
  <c r="M99" i="12"/>
  <c r="J69" i="12"/>
  <c r="F69" i="12"/>
  <c r="N69" i="12"/>
  <c r="C69" i="12"/>
  <c r="G69" i="12"/>
  <c r="K69" i="12"/>
  <c r="O69" i="12"/>
  <c r="D69" i="12"/>
  <c r="H69" i="12"/>
  <c r="L69" i="12"/>
  <c r="E51" i="12"/>
  <c r="O51" i="12"/>
  <c r="F27" i="12"/>
  <c r="F51" i="12" s="1"/>
  <c r="J27" i="12"/>
  <c r="J51" i="12" s="1"/>
  <c r="N27" i="12"/>
  <c r="N51" i="12" s="1"/>
  <c r="C27" i="12"/>
  <c r="C51" i="12" s="1"/>
  <c r="G27" i="12"/>
  <c r="G51" i="12" s="1"/>
  <c r="K27" i="12"/>
  <c r="K51" i="12" s="1"/>
  <c r="M21" i="12" l="1"/>
  <c r="L21" i="12"/>
  <c r="I21" i="12"/>
  <c r="H21" i="12"/>
  <c r="E21" i="12"/>
  <c r="D21" i="12"/>
  <c r="O21" i="12"/>
  <c r="L19" i="12"/>
  <c r="H19" i="12"/>
  <c r="D19" i="12"/>
  <c r="O19" i="12"/>
  <c r="D17" i="12"/>
  <c r="O17" i="12"/>
  <c r="L15" i="12"/>
  <c r="H15" i="12"/>
  <c r="D15" i="12"/>
  <c r="O15" i="12"/>
  <c r="L13" i="12"/>
  <c r="I13" i="12"/>
  <c r="H13" i="12"/>
  <c r="E13" i="12"/>
  <c r="D13" i="12"/>
  <c r="O13" i="12"/>
  <c r="L11" i="12"/>
  <c r="I11" i="12"/>
  <c r="H11" i="12"/>
  <c r="E11" i="12"/>
  <c r="D11" i="12"/>
  <c r="O11" i="12"/>
  <c r="H9" i="12"/>
  <c r="D9" i="12"/>
  <c r="O9" i="12"/>
  <c r="M7" i="12"/>
  <c r="L7" i="12"/>
  <c r="I7" i="12"/>
  <c r="H7" i="12"/>
  <c r="E7" i="12"/>
  <c r="D7" i="12"/>
  <c r="O7" i="12"/>
  <c r="B5" i="12"/>
  <c r="E5" i="12" s="1"/>
  <c r="D22" i="12"/>
  <c r="D116" i="12" s="1"/>
  <c r="E22" i="12"/>
  <c r="E116" i="12" s="1"/>
  <c r="F22" i="12"/>
  <c r="F116" i="12" s="1"/>
  <c r="G22" i="12"/>
  <c r="G116" i="12" s="1"/>
  <c r="H22" i="12"/>
  <c r="H116" i="12" s="1"/>
  <c r="I22" i="12"/>
  <c r="I116" i="12" s="1"/>
  <c r="J22" i="12"/>
  <c r="J116" i="12" s="1"/>
  <c r="K22" i="12"/>
  <c r="K116" i="12" s="1"/>
  <c r="L22" i="12"/>
  <c r="L116" i="12" s="1"/>
  <c r="M22" i="12"/>
  <c r="M116" i="12" s="1"/>
  <c r="N22" i="12"/>
  <c r="N116" i="12" s="1"/>
  <c r="O22" i="12"/>
  <c r="O116" i="12" s="1"/>
  <c r="C22" i="12"/>
  <c r="C116" i="12" s="1"/>
  <c r="L5" i="12" l="1"/>
  <c r="H5" i="12"/>
  <c r="D5" i="12"/>
  <c r="C5" i="12"/>
  <c r="O5" i="12"/>
  <c r="K5" i="12"/>
  <c r="G5" i="12"/>
  <c r="N5" i="12"/>
  <c r="J5" i="12"/>
  <c r="F5" i="12"/>
  <c r="M5" i="12"/>
  <c r="I5" i="12"/>
  <c r="F21" i="12"/>
  <c r="J21" i="12"/>
  <c r="N21" i="12"/>
  <c r="C21" i="12"/>
  <c r="G21" i="12"/>
  <c r="K21" i="12"/>
  <c r="E19" i="12"/>
  <c r="I19" i="12"/>
  <c r="M19" i="12"/>
  <c r="F19" i="12"/>
  <c r="J19" i="12"/>
  <c r="N19" i="12"/>
  <c r="C19" i="12"/>
  <c r="G19" i="12"/>
  <c r="K19" i="12"/>
  <c r="H17" i="12"/>
  <c r="H23" i="12" s="1"/>
  <c r="H117" i="12" s="1"/>
  <c r="H110" i="10" s="1"/>
  <c r="L17" i="12"/>
  <c r="E17" i="12"/>
  <c r="I17" i="12"/>
  <c r="M17" i="12"/>
  <c r="F17" i="12"/>
  <c r="J17" i="12"/>
  <c r="N17" i="12"/>
  <c r="C17" i="12"/>
  <c r="G17" i="12"/>
  <c r="K17" i="12"/>
  <c r="E15" i="12"/>
  <c r="I15" i="12"/>
  <c r="M15" i="12"/>
  <c r="F15" i="12"/>
  <c r="J15" i="12"/>
  <c r="N15" i="12"/>
  <c r="C15" i="12"/>
  <c r="G15" i="12"/>
  <c r="K15" i="12"/>
  <c r="M13" i="12"/>
  <c r="F13" i="12"/>
  <c r="J13" i="12"/>
  <c r="N13" i="12"/>
  <c r="C13" i="12"/>
  <c r="G13" i="12"/>
  <c r="K13" i="12"/>
  <c r="M11" i="12"/>
  <c r="F11" i="12"/>
  <c r="J11" i="12"/>
  <c r="N11" i="12"/>
  <c r="C11" i="12"/>
  <c r="G11" i="12"/>
  <c r="K11" i="12"/>
  <c r="L9" i="12"/>
  <c r="E9" i="12"/>
  <c r="I9" i="12"/>
  <c r="M9" i="12"/>
  <c r="F9" i="12"/>
  <c r="J9" i="12"/>
  <c r="N9" i="12"/>
  <c r="C9" i="12"/>
  <c r="G9" i="12"/>
  <c r="K9" i="12"/>
  <c r="F7" i="12"/>
  <c r="J7" i="12"/>
  <c r="N7" i="12"/>
  <c r="C7" i="12"/>
  <c r="G7" i="12"/>
  <c r="K7" i="12"/>
  <c r="D23" i="12"/>
  <c r="D117" i="12" s="1"/>
  <c r="O23" i="12"/>
  <c r="O117" i="12" s="1"/>
  <c r="O110" i="10" s="1"/>
  <c r="L23" i="12" l="1"/>
  <c r="L117" i="12" s="1"/>
  <c r="L110" i="10" s="1"/>
  <c r="C23" i="12"/>
  <c r="C117" i="12" s="1"/>
  <c r="E23" i="12"/>
  <c r="E117" i="12" s="1"/>
  <c r="E110" i="10" s="1"/>
  <c r="I23" i="12"/>
  <c r="I117" i="12" s="1"/>
  <c r="I110" i="10" s="1"/>
  <c r="K23" i="12"/>
  <c r="K117" i="12" s="1"/>
  <c r="K110" i="10" s="1"/>
  <c r="F23" i="12"/>
  <c r="F117" i="12" s="1"/>
  <c r="F110" i="10" s="1"/>
  <c r="M23" i="12"/>
  <c r="M117" i="12" s="1"/>
  <c r="M110" i="10" s="1"/>
  <c r="G23" i="12"/>
  <c r="G117" i="12" s="1"/>
  <c r="G110" i="10" s="1"/>
  <c r="J23" i="12"/>
  <c r="J117" i="12" s="1"/>
  <c r="J110" i="10" s="1"/>
  <c r="N23" i="12"/>
  <c r="N117" i="12" s="1"/>
  <c r="N110" i="10" s="1"/>
  <c r="P117" i="12" l="1"/>
  <c r="E131" i="10" l="1"/>
  <c r="P126" i="10"/>
  <c r="P130" i="10"/>
  <c r="D131" i="10"/>
  <c r="P123" i="10" l="1"/>
  <c r="P135" i="10"/>
  <c r="P124" i="10"/>
  <c r="P125" i="10"/>
  <c r="P136" i="10"/>
  <c r="P127" i="10"/>
  <c r="P128" i="10"/>
  <c r="P129" i="10"/>
  <c r="E48" i="10" l="1"/>
  <c r="P5" i="10" l="1"/>
  <c r="B7" i="10"/>
  <c r="O6" i="10"/>
  <c r="N6" i="10"/>
  <c r="M6" i="10"/>
  <c r="L6" i="10"/>
  <c r="K6" i="10"/>
  <c r="J6" i="10"/>
  <c r="I6" i="10"/>
  <c r="H6" i="10"/>
  <c r="G6" i="10"/>
  <c r="F6" i="10"/>
  <c r="E6" i="10"/>
  <c r="O74" i="10"/>
  <c r="O116" i="10" s="1"/>
  <c r="O117" i="10" s="1"/>
  <c r="L63" i="10"/>
  <c r="O95" i="10"/>
  <c r="N95" i="10"/>
  <c r="M95" i="10"/>
  <c r="L95" i="10"/>
  <c r="K95" i="10"/>
  <c r="J95" i="10"/>
  <c r="I95" i="10"/>
  <c r="H95" i="10"/>
  <c r="G95" i="10"/>
  <c r="F95" i="10"/>
  <c r="E95" i="10"/>
  <c r="E104" i="10"/>
  <c r="F104" i="10"/>
  <c r="G104" i="10"/>
  <c r="H104" i="10"/>
  <c r="I104" i="10"/>
  <c r="J104" i="10"/>
  <c r="K104" i="10"/>
  <c r="L104" i="10"/>
  <c r="M104" i="10"/>
  <c r="N104" i="10"/>
  <c r="O104" i="10"/>
  <c r="L8" i="10" l="1"/>
  <c r="I8" i="10"/>
  <c r="I10" i="10" s="1"/>
  <c r="C10" i="10"/>
  <c r="E9" i="10"/>
  <c r="P6" i="10"/>
  <c r="M8" i="10"/>
  <c r="B10" i="10"/>
  <c r="J8" i="10"/>
  <c r="J10" i="10" s="1"/>
  <c r="N8" i="10"/>
  <c r="N10" i="10" s="1"/>
  <c r="G9" i="10"/>
  <c r="K8" i="10"/>
  <c r="H9" i="10"/>
  <c r="K9" i="10" l="1"/>
  <c r="K10" i="10"/>
  <c r="M9" i="10"/>
  <c r="M10" i="10"/>
  <c r="L9" i="10"/>
  <c r="L10" i="10"/>
  <c r="I9" i="10"/>
  <c r="C11" i="10"/>
  <c r="C12" i="10"/>
  <c r="C13" i="10" s="1"/>
  <c r="P7" i="10"/>
  <c r="P8" i="10"/>
  <c r="P10" i="10" s="1"/>
  <c r="M11" i="10"/>
  <c r="F9" i="10"/>
  <c r="B11" i="10"/>
  <c r="B12" i="10"/>
  <c r="B13" i="10" s="1"/>
  <c r="N9" i="10"/>
  <c r="J9" i="10"/>
  <c r="E82" i="10"/>
  <c r="F82" i="10"/>
  <c r="G82" i="10"/>
  <c r="H82" i="10"/>
  <c r="I82" i="10"/>
  <c r="J82" i="10"/>
  <c r="K82" i="10"/>
  <c r="L82" i="10"/>
  <c r="M82" i="10"/>
  <c r="N82" i="10"/>
  <c r="O82" i="10"/>
  <c r="N74" i="10"/>
  <c r="N116" i="10" s="1"/>
  <c r="N117" i="10" s="1"/>
  <c r="M74" i="10"/>
  <c r="M116" i="10" s="1"/>
  <c r="M117" i="10" s="1"/>
  <c r="L74" i="10"/>
  <c r="L116" i="10" s="1"/>
  <c r="L117" i="10" s="1"/>
  <c r="K74" i="10"/>
  <c r="K116" i="10" s="1"/>
  <c r="K117" i="10" s="1"/>
  <c r="J74" i="10"/>
  <c r="J116" i="10" s="1"/>
  <c r="J117" i="10" s="1"/>
  <c r="I74" i="10"/>
  <c r="I116" i="10" s="1"/>
  <c r="I117" i="10" s="1"/>
  <c r="H74" i="10"/>
  <c r="H116" i="10" s="1"/>
  <c r="H117" i="10" s="1"/>
  <c r="G74" i="10"/>
  <c r="G116" i="10" s="1"/>
  <c r="G117" i="10" s="1"/>
  <c r="F74" i="10"/>
  <c r="F116" i="10" s="1"/>
  <c r="F117" i="10" s="1"/>
  <c r="E74" i="10"/>
  <c r="O63" i="10"/>
  <c r="N63" i="10"/>
  <c r="M63" i="10"/>
  <c r="K63" i="10"/>
  <c r="J63" i="10"/>
  <c r="I63" i="10"/>
  <c r="H63" i="10"/>
  <c r="G63" i="10"/>
  <c r="F63" i="10"/>
  <c r="E63" i="10"/>
  <c r="E21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F131" i="10"/>
  <c r="G131" i="10"/>
  <c r="H131" i="10"/>
  <c r="I131" i="10"/>
  <c r="J131" i="10"/>
  <c r="K131" i="10"/>
  <c r="L131" i="10"/>
  <c r="M131" i="10"/>
  <c r="N131" i="10"/>
  <c r="O131" i="10"/>
  <c r="E11" i="10" l="1"/>
  <c r="L12" i="10"/>
  <c r="L13" i="10" s="1"/>
  <c r="O12" i="10"/>
  <c r="O13" i="10" s="1"/>
  <c r="I12" i="10"/>
  <c r="I13" i="10" s="1"/>
  <c r="P12" i="10"/>
  <c r="P74" i="10"/>
  <c r="P63" i="10"/>
  <c r="P131" i="10"/>
  <c r="I11" i="10"/>
  <c r="L11" i="10"/>
  <c r="N52" i="10"/>
  <c r="N107" i="10" s="1"/>
  <c r="N112" i="10" s="1"/>
  <c r="N114" i="10" s="1"/>
  <c r="F52" i="10"/>
  <c r="F107" i="10" s="1"/>
  <c r="F112" i="10" s="1"/>
  <c r="F114" i="10" s="1"/>
  <c r="J52" i="10"/>
  <c r="J107" i="10" s="1"/>
  <c r="J112" i="10" s="1"/>
  <c r="J114" i="10" s="1"/>
  <c r="E52" i="10"/>
  <c r="E107" i="10" s="1"/>
  <c r="E112" i="10" s="1"/>
  <c r="E114" i="10" s="1"/>
  <c r="I52" i="10"/>
  <c r="I107" i="10" s="1"/>
  <c r="I112" i="10" s="1"/>
  <c r="I114" i="10" s="1"/>
  <c r="M52" i="10"/>
  <c r="M107" i="10" s="1"/>
  <c r="M112" i="10" s="1"/>
  <c r="M114" i="10" s="1"/>
  <c r="E12" i="10"/>
  <c r="E13" i="10" s="1"/>
  <c r="K52" i="10"/>
  <c r="K107" i="10" s="1"/>
  <c r="K112" i="10" s="1"/>
  <c r="K114" i="10" s="1"/>
  <c r="O52" i="10"/>
  <c r="O107" i="10" s="1"/>
  <c r="O112" i="10" s="1"/>
  <c r="O114" i="10" s="1"/>
  <c r="G52" i="10"/>
  <c r="G107" i="10" s="1"/>
  <c r="G112" i="10" s="1"/>
  <c r="G114" i="10" s="1"/>
  <c r="L52" i="10"/>
  <c r="L107" i="10" s="1"/>
  <c r="L112" i="10" s="1"/>
  <c r="L114" i="10" s="1"/>
  <c r="H52" i="10"/>
  <c r="H107" i="10" s="1"/>
  <c r="H112" i="10" s="1"/>
  <c r="H114" i="10" s="1"/>
  <c r="M12" i="10"/>
  <c r="M13" i="10" s="1"/>
  <c r="H12" i="10"/>
  <c r="H13" i="10" s="1"/>
  <c r="H11" i="10"/>
  <c r="N11" i="10"/>
  <c r="N12" i="10"/>
  <c r="N13" i="10" s="1"/>
  <c r="G12" i="10"/>
  <c r="G13" i="10" s="1"/>
  <c r="G11" i="10"/>
  <c r="K12" i="10"/>
  <c r="K13" i="10" s="1"/>
  <c r="K11" i="10"/>
  <c r="J11" i="10"/>
  <c r="J12" i="10"/>
  <c r="J13" i="10" s="1"/>
  <c r="O11" i="10"/>
  <c r="P9" i="10"/>
  <c r="F11" i="10"/>
  <c r="F12" i="10"/>
  <c r="F13" i="10" s="1"/>
  <c r="P52" i="10" l="1"/>
  <c r="P11" i="10"/>
  <c r="P13" i="10"/>
  <c r="P112" i="10" l="1"/>
  <c r="P114" i="10"/>
  <c r="P107" i="10"/>
</calcChain>
</file>

<file path=xl/sharedStrings.xml><?xml version="1.0" encoding="utf-8"?>
<sst xmlns="http://schemas.openxmlformats.org/spreadsheetml/2006/main" count="220" uniqueCount="191">
  <si>
    <t>Venue Services/Sales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</si>
  <si>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</si>
  <si>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</si>
  <si>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</si>
  <si>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</si>
  <si>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</si>
  <si>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</si>
  <si>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</si>
  <si>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</si>
  <si>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</si>
  <si>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</si>
  <si>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</si>
  <si>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</si>
  <si>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Erik Chillman</t>
  </si>
  <si>
    <t>Crystal Buss Venue Support</t>
  </si>
  <si>
    <t>Daniel Heithoff Technical Support</t>
  </si>
  <si>
    <t>Gabe Morgan Venue Support</t>
  </si>
  <si>
    <t>Dan Lunan Venue Support</t>
  </si>
  <si>
    <t>Tyler Morrison Knowledge Base &amp; Doc</t>
  </si>
  <si>
    <t>Venue Support</t>
  </si>
  <si>
    <t>Sales Lead</t>
  </si>
  <si>
    <t>Operating Expenses</t>
  </si>
  <si>
    <t>IFA Annual Convention (Feb)</t>
  </si>
  <si>
    <t>NRA Conference May 2026</t>
  </si>
  <si>
    <t>InfoComm (attendee only) June</t>
  </si>
  <si>
    <t>Vitally Automation (current CRM)*</t>
  </si>
  <si>
    <t>Total Venue Opex</t>
  </si>
  <si>
    <t>Marketing</t>
  </si>
  <si>
    <t>Dr Robert Rippee</t>
  </si>
  <si>
    <t>Kristin</t>
  </si>
  <si>
    <t>Nicole</t>
  </si>
  <si>
    <t>Lacy Brunnette</t>
  </si>
  <si>
    <t>Marketing Lead</t>
  </si>
  <si>
    <t>Winback incentives</t>
  </si>
  <si>
    <t>Marketing Agency (e.g. Advida)</t>
  </si>
  <si>
    <t>Go Highlevel (Marketing Ops tool)</t>
  </si>
  <si>
    <t>SimpleTexting (SMS tool)</t>
  </si>
  <si>
    <t>Marketing Collateral*</t>
  </si>
  <si>
    <t>Research &amp; Insights</t>
  </si>
  <si>
    <t>Total Marketing Opex</t>
  </si>
  <si>
    <t>Ray Lee</t>
  </si>
  <si>
    <t>Tristan Kime</t>
  </si>
  <si>
    <t>Figma License *</t>
  </si>
  <si>
    <t>Do What Works License</t>
  </si>
  <si>
    <t>Evoke UX/Design supplemental support</t>
  </si>
  <si>
    <t>O&amp;O Revenue</t>
  </si>
  <si>
    <t>O&amp;O COGS</t>
  </si>
  <si>
    <t>O&amp;O COGS % of rev</t>
  </si>
  <si>
    <t>O&amp;O GM</t>
  </si>
  <si>
    <t>O&amp;O GM % of rev</t>
  </si>
  <si>
    <t>Total Capex</t>
  </si>
  <si>
    <t xml:space="preserve">Projects </t>
  </si>
  <si>
    <t>EVOKE Product Support</t>
  </si>
  <si>
    <t>EVOKE Dev &amp; QA</t>
  </si>
  <si>
    <t>Web Platform rewrite</t>
  </si>
  <si>
    <t xml:space="preserve">Hoot Suite </t>
  </si>
  <si>
    <t xml:space="preserve">Git Hub Maintnance </t>
  </si>
  <si>
    <t xml:space="preserve">Player expense </t>
  </si>
  <si>
    <t xml:space="preserve">Travel expenses </t>
  </si>
  <si>
    <t>Adobe software</t>
  </si>
  <si>
    <t>Microsoft (Office 365 Basic)</t>
  </si>
  <si>
    <t>Microsoft (Office 365 Standard)</t>
  </si>
  <si>
    <t>Slack</t>
  </si>
  <si>
    <t>Google Workspace</t>
  </si>
  <si>
    <t>Public Storage</t>
  </si>
  <si>
    <t>AfterShip</t>
  </si>
  <si>
    <t>ShipStation Postage</t>
  </si>
  <si>
    <t>ShipStation SaaS</t>
  </si>
  <si>
    <t>GoDaddy</t>
  </si>
  <si>
    <t>Zapier</t>
  </si>
  <si>
    <t>QuickBase</t>
  </si>
  <si>
    <t>Liquid Web</t>
  </si>
  <si>
    <t>Atlassian</t>
  </si>
  <si>
    <t>Google Cloud CC</t>
  </si>
  <si>
    <t>Envoyer</t>
  </si>
  <si>
    <t>Algolia</t>
  </si>
  <si>
    <t>Github</t>
  </si>
  <si>
    <t>Vercel</t>
  </si>
  <si>
    <t>Cloudflare</t>
  </si>
  <si>
    <t>Zoom Video Communications, Inc.</t>
  </si>
  <si>
    <t>Snowflake Inc.</t>
  </si>
  <si>
    <t>Sigma Computing Inc.</t>
  </si>
  <si>
    <t>MobileRider Networks, LLC</t>
  </si>
  <si>
    <t>FedEx</t>
  </si>
  <si>
    <t>Amazon Web Services, Inc. - nOps</t>
  </si>
  <si>
    <t>BI Analyst</t>
  </si>
  <si>
    <t>BI Architect</t>
  </si>
  <si>
    <t>Rodney Bower</t>
  </si>
  <si>
    <t>Dalibor Franjkic</t>
  </si>
  <si>
    <t>Marko Turkalj</t>
  </si>
  <si>
    <t>Max Rose</t>
  </si>
  <si>
    <t>Pete McKenzie</t>
  </si>
  <si>
    <t>Technology</t>
  </si>
  <si>
    <t>Exp 4</t>
  </si>
  <si>
    <t>Health Benefits</t>
  </si>
  <si>
    <t>Quickbooks</t>
  </si>
  <si>
    <t>Jason Whiteside</t>
  </si>
  <si>
    <t>Jimmie Needles</t>
  </si>
  <si>
    <t>Duncan Beatty</t>
  </si>
  <si>
    <t>Ad Sales</t>
  </si>
  <si>
    <t>Grace Tark</t>
  </si>
  <si>
    <t>Alexa Grillo</t>
  </si>
  <si>
    <t>Jolene</t>
  </si>
  <si>
    <t>Ad Ops role</t>
  </si>
  <si>
    <t>Direct sales rep</t>
  </si>
  <si>
    <t>Director of sales?</t>
  </si>
  <si>
    <t>Jounce (sales tool)</t>
  </si>
  <si>
    <t>PerView</t>
  </si>
  <si>
    <t>Vistar Ad Server Fees</t>
  </si>
  <si>
    <t>IAB</t>
  </si>
  <si>
    <t>HUMAN IVT</t>
  </si>
  <si>
    <t>IndiCue Ad Server</t>
  </si>
  <si>
    <t>Total Ad Sales Opex</t>
  </si>
  <si>
    <t>Headcount 2026</t>
  </si>
  <si>
    <t>Craig Macgibbon</t>
  </si>
  <si>
    <t>Product / UI Design</t>
  </si>
  <si>
    <t>Finance / G&amp;A</t>
  </si>
  <si>
    <t>Accountant</t>
  </si>
  <si>
    <t>Michele Vrban</t>
  </si>
  <si>
    <t>Total Tech/Ops</t>
  </si>
  <si>
    <t>Total Venue/Sales</t>
  </si>
  <si>
    <t>Total Marketing</t>
  </si>
  <si>
    <t>Total Product / UI Design</t>
  </si>
  <si>
    <t>Total Finance / G&amp;A</t>
  </si>
  <si>
    <t>Total Headcount</t>
  </si>
  <si>
    <t>Sonya Mendoza - Other HR</t>
  </si>
  <si>
    <t>Dan Lunan #2</t>
  </si>
  <si>
    <t>Lacy Brunnette #2</t>
  </si>
  <si>
    <t>Technology / Ops</t>
  </si>
  <si>
    <t>Total Tech / Ops</t>
  </si>
  <si>
    <t>Marketing Expenses</t>
  </si>
  <si>
    <t>Venue Expenses</t>
  </si>
  <si>
    <t>Product / UI Expenses</t>
  </si>
  <si>
    <t>Total Product / UI Opex</t>
  </si>
  <si>
    <t>Legal - Contracts &amp; IP</t>
  </si>
  <si>
    <t>FInance / G&amp;A Expenses</t>
  </si>
  <si>
    <t>Total Finance / G&amp;A Opex</t>
  </si>
  <si>
    <t>Trade Shows</t>
  </si>
  <si>
    <t>Ad Sales Expenses</t>
  </si>
  <si>
    <t>2026  Expenses</t>
  </si>
  <si>
    <t>Gross Margin Analysis</t>
  </si>
  <si>
    <t>OLD Loop Tot (k)</t>
  </si>
  <si>
    <t>Amazon Web Services, Inc. - Streaming</t>
  </si>
  <si>
    <t>Efficiency / Automation Tools</t>
  </si>
  <si>
    <t>ven # increase</t>
  </si>
  <si>
    <t>Total Ad Sales</t>
  </si>
  <si>
    <t>Revamp existing product</t>
  </si>
  <si>
    <t>SMB Ad Manager</t>
  </si>
  <si>
    <t>SMB Ad Manager Operations</t>
  </si>
  <si>
    <t>Automization tools - AR, AP, Payroll?</t>
  </si>
  <si>
    <t>Total Expenses w/o payroll</t>
  </si>
  <si>
    <t>Payroll</t>
  </si>
  <si>
    <t>Total Tech/Ops $</t>
  </si>
  <si>
    <t>Engineering Leader - Raja</t>
  </si>
  <si>
    <t>Total Venue/Sales $</t>
  </si>
  <si>
    <t>Total Payroll</t>
  </si>
  <si>
    <t>Tyler Morrison #2</t>
  </si>
  <si>
    <t>…</t>
  </si>
  <si>
    <t>SMB Ad Manager Sales Rep</t>
  </si>
  <si>
    <t>original estimate</t>
  </si>
  <si>
    <t>Customer Acquisition Costs total</t>
  </si>
  <si>
    <t>PR Services for Ad Sales Industry</t>
  </si>
  <si>
    <t>COGS</t>
  </si>
  <si>
    <t>CAC - forecast</t>
  </si>
  <si>
    <t>Lead gen tool, Automization tools</t>
  </si>
  <si>
    <t>Affiliate Partnerships** or other partnership</t>
  </si>
  <si>
    <t>Paid Media or other channel</t>
  </si>
  <si>
    <t>Potential Other Capex Projects</t>
  </si>
  <si>
    <t>Total Potential Other Capex</t>
  </si>
  <si>
    <t>Conferences</t>
  </si>
  <si>
    <t>Product Agency</t>
  </si>
  <si>
    <t>AB Test</t>
  </si>
  <si>
    <t>Other tools and costs</t>
  </si>
  <si>
    <t>Outsourced Marketing - Meta</t>
  </si>
  <si>
    <t>Mobile app for users</t>
  </si>
  <si>
    <t>Application for Browser / App Store</t>
  </si>
  <si>
    <t>Capex</t>
  </si>
  <si>
    <t xml:space="preserve">Tiered Environment </t>
  </si>
  <si>
    <t>Total Marketing $</t>
  </si>
  <si>
    <t>External Audit/Accounting</t>
  </si>
  <si>
    <t>Replacement Support &amp; Other</t>
  </si>
  <si>
    <t>Content Costs</t>
  </si>
  <si>
    <t>Venue count 2026 (000) start of mth</t>
  </si>
  <si>
    <t>Opex + Payroll</t>
  </si>
  <si>
    <t>Original projection</t>
  </si>
  <si>
    <t>Total Opex</t>
  </si>
  <si>
    <t>Content Costs % of rev</t>
  </si>
  <si>
    <t>EBITDA</t>
  </si>
  <si>
    <t>Streaming Costs + other % of rev</t>
  </si>
  <si>
    <t>AWS - Streaming Costs + other</t>
  </si>
  <si>
    <t>AI content creation - Forge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</si>
</sst>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&quot;$&quot;#,##0_);[Red]\(&quot;$&quot;#,##0\)"/>
    <numFmt numFmtId="166" formatCode="#,##0.0"/>
    <numFmt numFmtId="167" formatCode="0.0"/>
    <numFmt numFmtId="168" formatCode="0.0%"/>
    <numFmt numFmtId="169" formatCode="[$-409]mmm\-yy;@"/>
    <numFmt numFmtId="170" formatCode="#,##0.0_);\(#,##0.0\)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3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0"/>
  </cellStyleXfs>
  <cellXfs count="112">
    <xf numFmtId="0" fontId="0" fillId="0" borderId="0" xfId="0"/>
    <xf numFmtId="0" fontId="8" fillId="0" borderId="0" xfId="0" applyFont="1"/>
    <xf numFmtId="1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3" fontId="9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8" fillId="0" borderId="2" xfId="0" applyFont="1" applyBorder="1"/>
    <xf numFmtId="3" fontId="9" fillId="0" borderId="0" xfId="0" applyNumberFormat="1" applyFont="1"/>
    <xf numFmtId="166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/>
    <xf numFmtId="165" fontId="9" fillId="0" borderId="1" xfId="0" applyNumberFormat="1" applyFont="1" applyBorder="1"/>
    <xf numFmtId="0" fontId="9" fillId="0" borderId="2" xfId="0" applyFont="1" applyBorder="1"/>
    <xf numFmtId="165" fontId="8" fillId="0" borderId="2" xfId="0" applyNumberFormat="1" applyFont="1" applyBorder="1" applyAlignment="1">
      <alignment horizontal="center"/>
    </xf>
    <xf numFmtId="165" fontId="9" fillId="0" borderId="0" xfId="0" applyNumberFormat="1" applyFont="1"/>
    <xf numFmtId="0" fontId="9" fillId="0" borderId="0" xfId="0" applyFont="1"/>
    <xf numFmtId="0" fontId="7" fillId="0" borderId="0" xfId="2"/>
    <xf numFmtId="3" fontId="7" fillId="0" borderId="0" xfId="2" applyNumberFormat="1" applyAlignment="1">
      <alignment horizontal="center"/>
    </xf>
    <xf numFmtId="0" fontId="12" fillId="0" borderId="0" xfId="2" applyFont="1"/>
    <xf numFmtId="37" fontId="12" fillId="0" borderId="3" xfId="2" applyNumberFormat="1" applyFont="1" applyBorder="1" applyAlignment="1">
      <alignment horizontal="center"/>
    </xf>
    <xf numFmtId="0" fontId="14" fillId="0" borderId="3" xfId="2" applyFont="1" applyBorder="1" applyAlignment="1">
      <alignment horizontal="left" vertical="top"/>
    </xf>
    <xf numFmtId="37" fontId="7" fillId="0" borderId="0" xfId="2" applyNumberFormat="1" applyAlignment="1">
      <alignment horizontal="center"/>
    </xf>
    <xf numFmtId="165" fontId="7" fillId="0" borderId="4" xfId="2" applyNumberFormat="1" applyBorder="1" applyAlignment="1">
      <alignment horizontal="center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left" vertical="top"/>
    </xf>
    <xf numFmtId="0" fontId="7" fillId="0" borderId="0" xfId="2" applyAlignment="1">
      <alignment horizontal="center"/>
    </xf>
    <xf numFmtId="0" fontId="7" fillId="0" borderId="0" xfId="2" applyAlignment="1">
      <alignment horizontal="left"/>
    </xf>
    <xf numFmtId="37" fontId="7" fillId="0" borderId="4" xfId="2" applyNumberFormat="1" applyBorder="1" applyAlignment="1">
      <alignment horizontal="center"/>
    </xf>
    <xf numFmtId="0" fontId="12" fillId="0" borderId="0" xfId="2" applyFont="1" applyAlignment="1">
      <alignment horizontal="left"/>
    </xf>
    <xf numFmtId="3" fontId="7" fillId="0" borderId="4" xfId="2" applyNumberFormat="1" applyBorder="1" applyAlignment="1">
      <alignment horizontal="center"/>
    </xf>
    <xf numFmtId="166" fontId="7" fillId="0" borderId="4" xfId="2" applyNumberFormat="1" applyBorder="1" applyAlignment="1">
      <alignment horizontal="center"/>
    </xf>
    <xf numFmtId="3" fontId="9" fillId="0" borderId="0" xfId="2" applyNumberFormat="1" applyFont="1" applyAlignment="1">
      <alignment horizontal="center"/>
    </xf>
    <xf numFmtId="0" fontId="8" fillId="0" borderId="0" xfId="2" applyFont="1"/>
    <xf numFmtId="0" fontId="7" fillId="0" borderId="0" xfId="2" applyAlignment="1">
      <alignment wrapText="1"/>
    </xf>
    <xf numFmtId="165" fontId="9" fillId="0" borderId="1" xfId="2" applyNumberFormat="1" applyFont="1" applyBorder="1" applyAlignment="1">
      <alignment horizontal="center"/>
    </xf>
    <xf numFmtId="0" fontId="8" fillId="0" borderId="2" xfId="2" applyFont="1" applyBorder="1"/>
    <xf numFmtId="165" fontId="8" fillId="0" borderId="2" xfId="2" applyNumberFormat="1" applyFont="1" applyBorder="1" applyAlignment="1">
      <alignment horizontal="center"/>
    </xf>
    <xf numFmtId="166" fontId="12" fillId="0" borderId="0" xfId="2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0" fontId="12" fillId="0" borderId="3" xfId="0" applyFont="1" applyBorder="1"/>
    <xf numFmtId="165" fontId="12" fillId="0" borderId="3" xfId="0" applyNumberFormat="1" applyFont="1" applyBorder="1" applyAlignment="1">
      <alignment horizontal="center"/>
    </xf>
    <xf numFmtId="165" fontId="8" fillId="0" borderId="0" xfId="2" applyNumberFormat="1" applyFont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5" xfId="0" applyBorder="1"/>
    <xf numFmtId="164" fontId="0" fillId="0" borderId="4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8" fontId="0" fillId="0" borderId="7" xfId="1" applyNumberFormat="1" applyFont="1" applyBorder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8" xfId="1" applyNumberFormat="1" applyFont="1" applyBorder="1" applyAlignment="1">
      <alignment horizontal="center"/>
    </xf>
    <xf numFmtId="0" fontId="0" fillId="0" borderId="9" xfId="0" applyBorder="1"/>
    <xf numFmtId="168" fontId="0" fillId="0" borderId="10" xfId="1" applyNumberFormat="1" applyFont="1" applyBorder="1" applyAlignment="1">
      <alignment horizontal="center"/>
    </xf>
    <xf numFmtId="168" fontId="0" fillId="0" borderId="11" xfId="1" applyNumberFormat="1" applyFont="1" applyBorder="1" applyAlignment="1">
      <alignment horizontal="center"/>
    </xf>
    <xf numFmtId="168" fontId="12" fillId="0" borderId="9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169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169" fontId="7" fillId="0" borderId="10" xfId="0" applyNumberFormat="1" applyFont="1" applyBorder="1" applyAlignment="1">
      <alignment horizontal="left"/>
    </xf>
    <xf numFmtId="37" fontId="0" fillId="0" borderId="8" xfId="0" applyNumberFormat="1" applyBorder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3" borderId="0" xfId="0" applyFont="1" applyFill="1"/>
    <xf numFmtId="0" fontId="10" fillId="3" borderId="0" xfId="0" applyFont="1" applyFill="1"/>
    <xf numFmtId="0" fontId="6" fillId="0" borderId="0" xfId="0" applyFont="1"/>
    <xf numFmtId="37" fontId="7" fillId="0" borderId="0" xfId="2" applyNumberFormat="1"/>
    <xf numFmtId="17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5" fillId="0" borderId="0" xfId="2" applyFont="1"/>
    <xf numFmtId="165" fontId="9" fillId="0" borderId="0" xfId="2" applyNumberFormat="1" applyFont="1" applyAlignment="1">
      <alignment horizontal="center"/>
    </xf>
    <xf numFmtId="165" fontId="9" fillId="4" borderId="0" xfId="2" applyNumberFormat="1" applyFont="1" applyFill="1" applyAlignment="1">
      <alignment horizontal="center"/>
    </xf>
    <xf numFmtId="0" fontId="5" fillId="0" borderId="0" xfId="0" applyFont="1"/>
    <xf numFmtId="3" fontId="12" fillId="0" borderId="0" xfId="2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5" fillId="0" borderId="0" xfId="2" applyFont="1" applyAlignment="1">
      <alignment horizontal="left"/>
    </xf>
    <xf numFmtId="37" fontId="12" fillId="0" borderId="0" xfId="2" applyNumberFormat="1" applyFont="1"/>
    <xf numFmtId="165" fontId="12" fillId="0" borderId="0" xfId="0" applyNumberFormat="1" applyFont="1"/>
    <xf numFmtId="37" fontId="9" fillId="0" borderId="0" xfId="0" applyNumberFormat="1" applyFont="1"/>
    <xf numFmtId="37" fontId="5" fillId="0" borderId="3" xfId="0" applyNumberFormat="1" applyFont="1" applyBorder="1" applyAlignment="1">
      <alignment horizontal="center"/>
    </xf>
    <xf numFmtId="37" fontId="5" fillId="0" borderId="0" xfId="2" applyNumberFormat="1" applyFont="1"/>
    <xf numFmtId="3" fontId="0" fillId="0" borderId="0" xfId="0" applyNumberFormat="1"/>
    <xf numFmtId="164" fontId="0" fillId="0" borderId="0" xfId="0" applyNumberFormat="1" applyAlignment="1">
      <alignment horizontal="center"/>
    </xf>
    <xf numFmtId="0" fontId="12" fillId="2" borderId="0" xfId="0" applyFont="1" applyFill="1" applyAlignment="1">
      <alignment horizontal="center"/>
    </xf>
    <xf numFmtId="0" fontId="4" fillId="0" borderId="0" xfId="0" applyFont="1"/>
    <xf numFmtId="165" fontId="7" fillId="0" borderId="0" xfId="2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0" fontId="2" fillId="0" borderId="0" xfId="2" applyFont="1"/>
    <xf numFmtId="164" fontId="0" fillId="0" borderId="8" xfId="0" applyNumberFormat="1" applyBorder="1" applyAlignment="1">
      <alignment horizontal="center"/>
    </xf>
    <xf numFmtId="0" fontId="2" fillId="0" borderId="0" xfId="0" applyFont="1"/>
    <xf numFmtId="37" fontId="12" fillId="0" borderId="0" xfId="0" applyNumberFormat="1" applyFont="1" applyAlignment="1">
      <alignment horizontal="center"/>
    </xf>
    <xf numFmtId="37" fontId="8" fillId="0" borderId="0" xfId="0" applyNumberFormat="1" applyFont="1"/>
    <xf numFmtId="37" fontId="12" fillId="0" borderId="5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/>
    <xf numFmtId="0" fontId="8" fillId="0" borderId="12" xfId="0" applyFont="1" applyBorder="1"/>
    <xf numFmtId="0" fontId="9" fillId="0" borderId="12" xfId="0" applyFont="1" applyBorder="1"/>
    <xf numFmtId="165" fontId="8" fillId="0" borderId="12" xfId="0" applyNumberFormat="1" applyFont="1" applyBorder="1" applyAlignment="1">
      <alignment horizontal="center"/>
    </xf>
    <xf numFmtId="37" fontId="0" fillId="0" borderId="12" xfId="0" applyNumberFormat="1" applyBorder="1" applyAlignment="1">
      <alignment horizontal="center"/>
    </xf>
    <xf numFmtId="164" fontId="5" fillId="0" borderId="0" xfId="2" applyNumberFormat="1" applyFont="1"/>
    <xf numFmtId="0" fontId="1" fillId="0" borderId="0" xfId="0" applyFont="1"/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7406454A-B91E-49BE-BCE4-8B8EB54D4AD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37"/>
  <sheetViews>
    <sheetView tabSelected="1" zoomScale="90" zoomScaleNormal="90" workbookViewId="0">
      <pane ySplit="1" topLeftCell="A2" activePane="bottomLeft" state="frozen"/>
      <selection pane="bottomLeft" activeCell="Q104" sqref="Q104"/>
    </sheetView>
  </sheetViews>
  <sheetFormatPr defaultRowHeight="14.4" x14ac:dyDescent="0.3"/>
  <cols>
    <col min="1" max="1" width="34.109375" customWidth="1"/>
    <col min="2" max="2" width="13" customWidth="1"/>
    <col min="3" max="3" width="10.88671875" hidden="1" customWidth="1"/>
    <col min="4" max="4" width="10.44140625" customWidth="1"/>
    <col min="5" max="5" width="9.88671875" bestFit="1" customWidth="1"/>
    <col min="6" max="12" width="10.88671875" bestFit="1" customWidth="1"/>
    <col min="13" max="15" width="12.44140625" bestFit="1" customWidth="1"/>
    <col min="16" max="16" width="12.6640625" customWidth="1"/>
  </cols>
  <sheetData>
    <row r="1" spans="1:26" s="26" customFormat="1" x14ac:dyDescent="0.3">
      <c r="A1" s="36" t="s">
        <v>139</v>
      </c>
      <c r="C1" s="76">
        <v>45992</v>
      </c>
      <c r="D1" s="77" t="s">
        <v>1</v>
      </c>
      <c r="E1" s="77" t="s">
        <v>2</v>
      </c>
      <c r="F1" s="77" t="s">
        <v>3</v>
      </c>
      <c r="G1" s="77" t="s">
        <v>4</v>
      </c>
      <c r="H1" s="77" t="s">
        <v>5</v>
      </c>
      <c r="I1" s="77" t="s">
        <v>6</v>
      </c>
      <c r="J1" s="77" t="s">
        <v>7</v>
      </c>
      <c r="K1" s="77" t="s">
        <v>8</v>
      </c>
      <c r="L1" s="77" t="s">
        <v>9</v>
      </c>
      <c r="M1" s="77" t="s">
        <v>10</v>
      </c>
      <c r="N1" s="77" t="s">
        <v>11</v>
      </c>
      <c r="O1" s="77" t="s">
        <v>12</v>
      </c>
      <c r="P1" s="78">
        <v>2026</v>
      </c>
    </row>
    <row r="2" spans="1:26" s="26" customFormat="1" x14ac:dyDescent="0.3">
      <c r="A2" s="36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93"/>
    </row>
    <row r="3" spans="1:26" x14ac:dyDescent="0.3">
      <c r="A3" s="7" t="s">
        <v>182</v>
      </c>
      <c r="B3" s="7"/>
      <c r="C3" s="8">
        <v>4</v>
      </c>
      <c r="D3" s="96">
        <v>4</v>
      </c>
      <c r="E3" s="96">
        <v>4</v>
      </c>
      <c r="F3" s="96">
        <v>4</v>
      </c>
      <c r="G3" s="96">
        <v>4.5</v>
      </c>
      <c r="H3" s="96">
        <v>5</v>
      </c>
      <c r="I3" s="96">
        <v>5.5</v>
      </c>
      <c r="J3" s="96">
        <v>6.5</v>
      </c>
      <c r="K3" s="96">
        <v>8.5</v>
      </c>
      <c r="L3" s="96">
        <v>10.5</v>
      </c>
      <c r="M3" s="96">
        <v>13.5</v>
      </c>
      <c r="N3" s="96">
        <v>16.5</v>
      </c>
      <c r="O3" s="96">
        <v>19.5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66" t="s">
        <v>140</v>
      </c>
      <c r="B4" s="69" t="s">
        <v>141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26" x14ac:dyDescent="0.3">
      <c r="A5" s="54" t="s">
        <v>45</v>
      </c>
      <c r="B5" s="55">
        <v>51115.053999999996</v>
      </c>
      <c r="C5" s="56">
        <v>130000</v>
      </c>
      <c r="D5" s="102">
        <v>68000</v>
      </c>
      <c r="E5" s="102">
        <v>50000</v>
      </c>
      <c r="F5" s="102">
        <v>60000</v>
      </c>
      <c r="G5" s="102">
        <v>80000</v>
      </c>
      <c r="H5" s="102">
        <v>125000</v>
      </c>
      <c r="I5" s="102">
        <v>192500</v>
      </c>
      <c r="J5" s="102">
        <v>292500</v>
      </c>
      <c r="K5" s="102">
        <v>467500</v>
      </c>
      <c r="L5" s="102">
        <v>682500</v>
      </c>
      <c r="M5" s="102">
        <v>1012500</v>
      </c>
      <c r="N5" s="102">
        <v>1402500</v>
      </c>
      <c r="O5" s="102">
        <v>1852500</v>
      </c>
      <c r="P5" s="57">
        <f>SUM(D5:O5)</f>
        <v>6285500</v>
      </c>
    </row>
    <row r="6" spans="1:26" x14ac:dyDescent="0.3">
      <c r="A6" s="99" t="s">
        <v>181</v>
      </c>
      <c r="B6" s="58">
        <v>15570.721</v>
      </c>
      <c r="C6" s="53">
        <v>20000</v>
      </c>
      <c r="D6" s="53"/>
      <c r="E6" s="53">
        <f t="shared" ref="E6:N6" si="0">E5*E7</f>
        <v>18750</v>
      </c>
      <c r="F6" s="53">
        <f t="shared" si="0"/>
        <v>21300</v>
      </c>
      <c r="G6" s="53">
        <f t="shared" si="0"/>
        <v>26800</v>
      </c>
      <c r="H6" s="53">
        <f t="shared" si="0"/>
        <v>39375</v>
      </c>
      <c r="I6" s="53">
        <f t="shared" si="0"/>
        <v>56787.5</v>
      </c>
      <c r="J6" s="53">
        <f t="shared" si="0"/>
        <v>80437.5</v>
      </c>
      <c r="K6" s="53">
        <f t="shared" si="0"/>
        <v>119212.5</v>
      </c>
      <c r="L6" s="53">
        <f t="shared" si="0"/>
        <v>160387.5</v>
      </c>
      <c r="M6" s="53">
        <f t="shared" si="0"/>
        <v>217687.5</v>
      </c>
      <c r="N6" s="53">
        <f t="shared" si="0"/>
        <v>273487.5</v>
      </c>
      <c r="O6" s="53">
        <f>O5*O7</f>
        <v>324187.5</v>
      </c>
      <c r="P6" s="70">
        <f>SUM(D6:O6)</f>
        <v>1338412.5</v>
      </c>
    </row>
    <row r="7" spans="1:26" x14ac:dyDescent="0.3">
      <c r="A7" s="99" t="s">
        <v>186</v>
      </c>
      <c r="B7" s="59">
        <f>B6/B5</f>
        <v>0.30462104177763366</v>
      </c>
      <c r="C7" s="60">
        <f>C6/C5</f>
        <v>0.15384615384615385</v>
      </c>
      <c r="D7" s="60"/>
      <c r="E7" s="60">
        <v>0.375</v>
      </c>
      <c r="F7" s="60">
        <v>0.35499999999999998</v>
      </c>
      <c r="G7" s="60">
        <v>0.33500000000000002</v>
      </c>
      <c r="H7" s="60">
        <v>0.315</v>
      </c>
      <c r="I7" s="60">
        <v>0.29499999999999998</v>
      </c>
      <c r="J7" s="60">
        <v>0.27500000000000002</v>
      </c>
      <c r="K7" s="60">
        <v>0.255</v>
      </c>
      <c r="L7" s="60">
        <v>0.23499999999999999</v>
      </c>
      <c r="M7" s="60">
        <v>0.215</v>
      </c>
      <c r="N7" s="60">
        <v>0.19500000000000001</v>
      </c>
      <c r="O7" s="60">
        <v>0.17499999999999999</v>
      </c>
      <c r="P7" s="61">
        <f t="shared" ref="P7" si="1">P6/P5</f>
        <v>0.21293652056320103</v>
      </c>
    </row>
    <row r="8" spans="1:26" x14ac:dyDescent="0.3">
      <c r="A8" s="111" t="s">
        <v>189</v>
      </c>
      <c r="B8" s="58">
        <v>6418.8850000000002</v>
      </c>
      <c r="C8" s="53">
        <v>40000</v>
      </c>
      <c r="D8" s="53"/>
      <c r="E8" s="53">
        <v>35000</v>
      </c>
      <c r="F8" s="53">
        <v>35000</v>
      </c>
      <c r="G8" s="53">
        <v>35000</v>
      </c>
      <c r="H8" s="53">
        <v>25000</v>
      </c>
      <c r="I8" s="53">
        <f t="shared" ref="I8" si="2">I5*$B9</f>
        <v>24255</v>
      </c>
      <c r="J8" s="53">
        <f t="shared" ref="J8:N8" si="3">J5*$B9</f>
        <v>36855</v>
      </c>
      <c r="K8" s="53">
        <f t="shared" si="3"/>
        <v>58905</v>
      </c>
      <c r="L8" s="53">
        <f t="shared" si="3"/>
        <v>85995</v>
      </c>
      <c r="M8" s="53">
        <f t="shared" si="3"/>
        <v>127575</v>
      </c>
      <c r="N8" s="53">
        <f t="shared" si="3"/>
        <v>176715</v>
      </c>
      <c r="O8" s="53">
        <f>O5*$B9</f>
        <v>233415</v>
      </c>
      <c r="P8" s="70">
        <f>SUM(D8:O8)</f>
        <v>873715</v>
      </c>
    </row>
    <row r="9" spans="1:26" x14ac:dyDescent="0.3">
      <c r="A9" t="s">
        <v>188</v>
      </c>
      <c r="B9" s="59">
        <v>0.126</v>
      </c>
      <c r="C9" s="60">
        <f t="shared" ref="C9:P9" si="4">C8/C5</f>
        <v>0.30769230769230771</v>
      </c>
      <c r="D9" s="60"/>
      <c r="E9" s="60">
        <f t="shared" si="4"/>
        <v>0.7</v>
      </c>
      <c r="F9" s="60">
        <f t="shared" si="4"/>
        <v>0.58333333333333337</v>
      </c>
      <c r="G9" s="60">
        <f t="shared" si="4"/>
        <v>0.4375</v>
      </c>
      <c r="H9" s="60">
        <f t="shared" si="4"/>
        <v>0.2</v>
      </c>
      <c r="I9" s="60">
        <f t="shared" si="4"/>
        <v>0.126</v>
      </c>
      <c r="J9" s="60">
        <f t="shared" si="4"/>
        <v>0.126</v>
      </c>
      <c r="K9" s="60">
        <f t="shared" si="4"/>
        <v>0.126</v>
      </c>
      <c r="L9" s="60">
        <f t="shared" si="4"/>
        <v>0.126</v>
      </c>
      <c r="M9" s="60">
        <f t="shared" si="4"/>
        <v>0.126</v>
      </c>
      <c r="N9" s="60">
        <f t="shared" si="4"/>
        <v>0.126</v>
      </c>
      <c r="O9" s="60">
        <f>O8/O5</f>
        <v>0.126</v>
      </c>
      <c r="P9" s="61">
        <f t="shared" si="4"/>
        <v>0.13900485243815131</v>
      </c>
    </row>
    <row r="10" spans="1:26" x14ac:dyDescent="0.3">
      <c r="A10" t="s">
        <v>46</v>
      </c>
      <c r="B10" s="58">
        <f>SUM(B6:B9)</f>
        <v>21990.036621041778</v>
      </c>
      <c r="C10" s="53" t="e">
        <f>C6+#REF!+C8+#REF!</f>
        <v>#REF!</v>
      </c>
      <c r="D10" s="53"/>
      <c r="E10" s="53">
        <f t="shared" ref="E10:O10" si="5">E6+E8</f>
        <v>53750</v>
      </c>
      <c r="F10" s="53">
        <f t="shared" si="5"/>
        <v>56300</v>
      </c>
      <c r="G10" s="53">
        <f t="shared" si="5"/>
        <v>61800</v>
      </c>
      <c r="H10" s="53">
        <f t="shared" si="5"/>
        <v>64375</v>
      </c>
      <c r="I10" s="53">
        <f t="shared" si="5"/>
        <v>81042.5</v>
      </c>
      <c r="J10" s="53">
        <f t="shared" si="5"/>
        <v>117292.5</v>
      </c>
      <c r="K10" s="53">
        <f t="shared" si="5"/>
        <v>178117.5</v>
      </c>
      <c r="L10" s="53">
        <f t="shared" si="5"/>
        <v>246382.5</v>
      </c>
      <c r="M10" s="53">
        <f t="shared" si="5"/>
        <v>345262.5</v>
      </c>
      <c r="N10" s="53">
        <f t="shared" si="5"/>
        <v>450202.5</v>
      </c>
      <c r="O10" s="53">
        <f t="shared" si="5"/>
        <v>557602.5</v>
      </c>
      <c r="P10" s="70">
        <f>P6+P8</f>
        <v>2212127.5</v>
      </c>
    </row>
    <row r="11" spans="1:26" x14ac:dyDescent="0.3">
      <c r="A11" s="62" t="s">
        <v>47</v>
      </c>
      <c r="B11" s="63">
        <f>B10/B5</f>
        <v>0.43020665929535706</v>
      </c>
      <c r="C11" s="65" t="e">
        <f>C10/C5</f>
        <v>#REF!</v>
      </c>
      <c r="D11" s="65"/>
      <c r="E11" s="65">
        <f>E10/E5</f>
        <v>1.075</v>
      </c>
      <c r="F11" s="65">
        <f>F10/F5</f>
        <v>0.93833333333333335</v>
      </c>
      <c r="G11" s="65">
        <f>G10/G5</f>
        <v>0.77249999999999996</v>
      </c>
      <c r="H11" s="65">
        <f>H10/H5</f>
        <v>0.51500000000000001</v>
      </c>
      <c r="I11" s="65">
        <f>I10/I5</f>
        <v>0.42099999999999999</v>
      </c>
      <c r="J11" s="65">
        <f>J10/J5</f>
        <v>0.40100000000000002</v>
      </c>
      <c r="K11" s="65">
        <f>K10/K5</f>
        <v>0.38100000000000001</v>
      </c>
      <c r="L11" s="65">
        <f>L10/L5</f>
        <v>0.36099999999999999</v>
      </c>
      <c r="M11" s="65">
        <f>M10/M5</f>
        <v>0.34100000000000003</v>
      </c>
      <c r="N11" s="65">
        <f>N10/N5</f>
        <v>0.32100000000000001</v>
      </c>
      <c r="O11" s="65">
        <f>O10/O5</f>
        <v>0.30099999999999999</v>
      </c>
      <c r="P11" s="64">
        <f>P10/P5</f>
        <v>0.35194137300135231</v>
      </c>
    </row>
    <row r="12" spans="1:26" x14ac:dyDescent="0.3">
      <c r="A12" t="s">
        <v>48</v>
      </c>
      <c r="B12" s="58">
        <f>B5-B10</f>
        <v>29125.017378958219</v>
      </c>
      <c r="C12" s="92" t="e">
        <f>C5-C10</f>
        <v>#REF!</v>
      </c>
      <c r="D12" s="92"/>
      <c r="E12" s="92">
        <f>E5-E10</f>
        <v>-3750</v>
      </c>
      <c r="F12" s="92">
        <f>F5-F10</f>
        <v>3700</v>
      </c>
      <c r="G12" s="92">
        <f>G5-G10</f>
        <v>18200</v>
      </c>
      <c r="H12" s="92">
        <f>H5-H10</f>
        <v>60625</v>
      </c>
      <c r="I12" s="92">
        <f>I5-I10</f>
        <v>111457.5</v>
      </c>
      <c r="J12" s="92">
        <f>J5-J10</f>
        <v>175207.5</v>
      </c>
      <c r="K12" s="92">
        <f>K5-K10</f>
        <v>289382.5</v>
      </c>
      <c r="L12" s="92">
        <f>L5-L10</f>
        <v>436117.5</v>
      </c>
      <c r="M12" s="92">
        <f>M5-M10</f>
        <v>667237.5</v>
      </c>
      <c r="N12" s="92">
        <f>N5-N10</f>
        <v>952297.5</v>
      </c>
      <c r="O12" s="92">
        <f>O5-O10</f>
        <v>1294897.5</v>
      </c>
      <c r="P12" s="98">
        <f>P5-P10</f>
        <v>4073372.5</v>
      </c>
    </row>
    <row r="13" spans="1:26" x14ac:dyDescent="0.3">
      <c r="A13" t="s">
        <v>49</v>
      </c>
      <c r="B13" s="59">
        <f>B12/B5</f>
        <v>0.56979334070464294</v>
      </c>
      <c r="C13" s="60" t="e">
        <f>C12/C5</f>
        <v>#REF!</v>
      </c>
      <c r="D13" s="60"/>
      <c r="E13" s="60">
        <f>E12/E5</f>
        <v>-7.4999999999999997E-2</v>
      </c>
      <c r="F13" s="60">
        <f>F12/F5</f>
        <v>6.1666666666666668E-2</v>
      </c>
      <c r="G13" s="60">
        <f>G12/G5</f>
        <v>0.22750000000000001</v>
      </c>
      <c r="H13" s="60">
        <f>H12/H5</f>
        <v>0.48499999999999999</v>
      </c>
      <c r="I13" s="60">
        <f>I12/I5</f>
        <v>0.57899999999999996</v>
      </c>
      <c r="J13" s="60">
        <f>J12/J5</f>
        <v>0.59899999999999998</v>
      </c>
      <c r="K13" s="60">
        <f>K12/K5</f>
        <v>0.61899999999999999</v>
      </c>
      <c r="L13" s="60">
        <f>L12/L5</f>
        <v>0.63900000000000001</v>
      </c>
      <c r="M13" s="60">
        <f>M12/M5</f>
        <v>0.65900000000000003</v>
      </c>
      <c r="N13" s="60">
        <f>N12/N5</f>
        <v>0.67900000000000005</v>
      </c>
      <c r="O13" s="60">
        <f>O12/O5</f>
        <v>0.69899999999999995</v>
      </c>
      <c r="P13" s="61">
        <f>P12/P5</f>
        <v>0.64805862699864769</v>
      </c>
    </row>
    <row r="14" spans="1:26" x14ac:dyDescent="0.3">
      <c r="B14" s="68"/>
      <c r="C14" s="68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68"/>
    </row>
    <row r="15" spans="1:26" s="24" customFormat="1" x14ac:dyDescent="0.3">
      <c r="B15" s="11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26" s="24" customFormat="1" x14ac:dyDescent="0.3">
      <c r="A16" s="36" t="s">
        <v>21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s="33" customFormat="1" x14ac:dyDescent="0.3">
      <c r="A17" s="36" t="s">
        <v>128</v>
      </c>
      <c r="B17" s="3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33" customFormat="1" x14ac:dyDescent="0.3">
      <c r="A18" s="24" t="s">
        <v>142</v>
      </c>
      <c r="B18" s="85" t="s">
        <v>162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s="33" customFormat="1" x14ac:dyDescent="0.3">
      <c r="A19" s="24" t="s">
        <v>84</v>
      </c>
      <c r="B19" s="34"/>
      <c r="C19" s="30">
        <v>450</v>
      </c>
      <c r="D19" s="30"/>
      <c r="E19" s="30">
        <f>+$C19*1.03</f>
        <v>463.5</v>
      </c>
      <c r="F19" s="30">
        <f t="shared" ref="F19:O19" si="6">+$C19*1.03</f>
        <v>463.5</v>
      </c>
      <c r="G19" s="30">
        <f t="shared" si="6"/>
        <v>463.5</v>
      </c>
      <c r="H19" s="30">
        <f t="shared" si="6"/>
        <v>463.5</v>
      </c>
      <c r="I19" s="30">
        <f t="shared" si="6"/>
        <v>463.5</v>
      </c>
      <c r="J19" s="30">
        <f t="shared" si="6"/>
        <v>463.5</v>
      </c>
      <c r="K19" s="30">
        <f t="shared" si="6"/>
        <v>463.5</v>
      </c>
      <c r="L19" s="30">
        <f t="shared" si="6"/>
        <v>463.5</v>
      </c>
      <c r="M19" s="30">
        <f t="shared" si="6"/>
        <v>463.5</v>
      </c>
      <c r="N19" s="30">
        <f t="shared" si="6"/>
        <v>463.5</v>
      </c>
      <c r="O19" s="30">
        <f t="shared" si="6"/>
        <v>463.5</v>
      </c>
    </row>
    <row r="20" spans="1:15" s="33" customFormat="1" x14ac:dyDescent="0.3">
      <c r="A20" s="24" t="s">
        <v>83</v>
      </c>
      <c r="B20" s="34"/>
      <c r="C20" s="30">
        <v>200</v>
      </c>
      <c r="D20" s="30"/>
      <c r="E20" s="30">
        <v>200</v>
      </c>
      <c r="F20" s="30">
        <v>200</v>
      </c>
      <c r="G20" s="30">
        <v>200</v>
      </c>
      <c r="H20" s="30">
        <v>200</v>
      </c>
      <c r="I20" s="30">
        <v>200</v>
      </c>
      <c r="J20" s="30">
        <v>200</v>
      </c>
      <c r="K20" s="30">
        <v>200</v>
      </c>
      <c r="L20" s="30">
        <v>200</v>
      </c>
      <c r="M20" s="30">
        <v>200</v>
      </c>
      <c r="N20" s="30">
        <v>200</v>
      </c>
      <c r="O20" s="30">
        <v>200</v>
      </c>
    </row>
    <row r="21" spans="1:15" s="33" customFormat="1" x14ac:dyDescent="0.3">
      <c r="A21" s="24" t="s">
        <v>82</v>
      </c>
      <c r="B21" s="34"/>
      <c r="C21" s="30">
        <v>1800</v>
      </c>
      <c r="D21" s="30"/>
      <c r="E21" s="30">
        <f t="shared" ref="D21:O21" si="7">+$C21*1.03</f>
        <v>1854</v>
      </c>
      <c r="F21" s="30">
        <f t="shared" si="7"/>
        <v>1854</v>
      </c>
      <c r="G21" s="30">
        <f t="shared" si="7"/>
        <v>1854</v>
      </c>
      <c r="H21" s="30">
        <f t="shared" si="7"/>
        <v>1854</v>
      </c>
      <c r="I21" s="30">
        <f t="shared" si="7"/>
        <v>1854</v>
      </c>
      <c r="J21" s="30">
        <f t="shared" si="7"/>
        <v>1854</v>
      </c>
      <c r="K21" s="30">
        <f t="shared" si="7"/>
        <v>1854</v>
      </c>
      <c r="L21" s="30">
        <f t="shared" si="7"/>
        <v>1854</v>
      </c>
      <c r="M21" s="30">
        <f t="shared" si="7"/>
        <v>1854</v>
      </c>
      <c r="N21" s="30">
        <f t="shared" si="7"/>
        <v>1854</v>
      </c>
      <c r="O21" s="30">
        <f t="shared" si="7"/>
        <v>1854</v>
      </c>
    </row>
    <row r="22" spans="1:15" s="33" customFormat="1" x14ac:dyDescent="0.3">
      <c r="A22" s="24" t="s">
        <v>81</v>
      </c>
      <c r="B22" s="34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3" customFormat="1" x14ac:dyDescent="0.3">
      <c r="A23" s="24" t="s">
        <v>80</v>
      </c>
      <c r="B23" s="34"/>
      <c r="C23" s="30"/>
      <c r="D23" s="30"/>
      <c r="E23" s="30">
        <v>5416.666666666667</v>
      </c>
      <c r="F23" s="30">
        <v>5416.666666666667</v>
      </c>
      <c r="G23" s="30">
        <v>5416.666666666667</v>
      </c>
      <c r="H23" s="30">
        <v>5416.666666666667</v>
      </c>
      <c r="I23" s="30">
        <v>5416.666666666667</v>
      </c>
      <c r="J23" s="30">
        <v>5416.666666666667</v>
      </c>
      <c r="K23" s="30">
        <v>5416.666666666667</v>
      </c>
      <c r="L23" s="30">
        <v>5416.666666666667</v>
      </c>
      <c r="M23" s="30">
        <v>5416.666666666667</v>
      </c>
      <c r="N23" s="30">
        <v>5416.666666666667</v>
      </c>
      <c r="O23" s="30">
        <v>5416.666666666667</v>
      </c>
    </row>
    <row r="24" spans="1:15" s="33" customFormat="1" x14ac:dyDescent="0.3">
      <c r="A24" s="24" t="s">
        <v>79</v>
      </c>
      <c r="B24" s="34"/>
      <c r="C24" s="30">
        <v>600</v>
      </c>
      <c r="D24" s="30"/>
      <c r="E24" s="30">
        <v>600</v>
      </c>
      <c r="F24" s="30">
        <v>600</v>
      </c>
      <c r="G24" s="30">
        <v>600</v>
      </c>
      <c r="H24" s="30">
        <v>600</v>
      </c>
      <c r="I24" s="30">
        <v>600</v>
      </c>
      <c r="J24" s="30">
        <v>600</v>
      </c>
      <c r="K24" s="30">
        <v>600</v>
      </c>
      <c r="L24" s="30">
        <v>600</v>
      </c>
      <c r="M24" s="30">
        <v>600</v>
      </c>
      <c r="N24" s="30">
        <v>600</v>
      </c>
      <c r="O24" s="30">
        <v>600</v>
      </c>
    </row>
    <row r="25" spans="1:15" s="33" customFormat="1" x14ac:dyDescent="0.3">
      <c r="A25" s="24" t="s">
        <v>78</v>
      </c>
      <c r="B25" s="34"/>
      <c r="C25" s="30">
        <v>1600</v>
      </c>
      <c r="D25" s="30"/>
      <c r="E25" s="30">
        <f t="shared" ref="D25:O34" si="8">+$C25*1.03</f>
        <v>1648</v>
      </c>
      <c r="F25" s="30">
        <f t="shared" si="8"/>
        <v>1648</v>
      </c>
      <c r="G25" s="30">
        <f t="shared" si="8"/>
        <v>1648</v>
      </c>
      <c r="H25" s="30">
        <f t="shared" si="8"/>
        <v>1648</v>
      </c>
      <c r="I25" s="30">
        <f t="shared" si="8"/>
        <v>1648</v>
      </c>
      <c r="J25" s="30">
        <f t="shared" si="8"/>
        <v>1648</v>
      </c>
      <c r="K25" s="30">
        <f t="shared" si="8"/>
        <v>1648</v>
      </c>
      <c r="L25" s="30">
        <f t="shared" si="8"/>
        <v>1648</v>
      </c>
      <c r="M25" s="30">
        <f t="shared" si="8"/>
        <v>1648</v>
      </c>
      <c r="N25" s="30">
        <f t="shared" si="8"/>
        <v>1648</v>
      </c>
      <c r="O25" s="30">
        <f t="shared" si="8"/>
        <v>1648</v>
      </c>
    </row>
    <row r="26" spans="1:15" s="33" customFormat="1" x14ac:dyDescent="0.3">
      <c r="A26" s="24" t="s">
        <v>77</v>
      </c>
      <c r="B26" s="34"/>
      <c r="C26" s="30">
        <v>40</v>
      </c>
      <c r="D26" s="30"/>
      <c r="E26" s="30">
        <f t="shared" si="8"/>
        <v>41.2</v>
      </c>
      <c r="F26" s="30">
        <f t="shared" si="8"/>
        <v>41.2</v>
      </c>
      <c r="G26" s="30">
        <f t="shared" si="8"/>
        <v>41.2</v>
      </c>
      <c r="H26" s="30">
        <f t="shared" si="8"/>
        <v>41.2</v>
      </c>
      <c r="I26" s="30">
        <f t="shared" si="8"/>
        <v>41.2</v>
      </c>
      <c r="J26" s="30">
        <f t="shared" si="8"/>
        <v>41.2</v>
      </c>
      <c r="K26" s="30">
        <f t="shared" si="8"/>
        <v>41.2</v>
      </c>
      <c r="L26" s="30">
        <f t="shared" si="8"/>
        <v>41.2</v>
      </c>
      <c r="M26" s="30">
        <f t="shared" si="8"/>
        <v>41.2</v>
      </c>
      <c r="N26" s="30">
        <f t="shared" si="8"/>
        <v>41.2</v>
      </c>
      <c r="O26" s="30">
        <f t="shared" si="8"/>
        <v>41.2</v>
      </c>
    </row>
    <row r="27" spans="1:15" s="33" customFormat="1" x14ac:dyDescent="0.3">
      <c r="A27" s="24" t="s">
        <v>76</v>
      </c>
      <c r="B27" s="34"/>
      <c r="C27" s="30">
        <v>100</v>
      </c>
      <c r="D27" s="30"/>
      <c r="E27" s="30">
        <f t="shared" si="8"/>
        <v>103</v>
      </c>
      <c r="F27" s="30">
        <f t="shared" si="8"/>
        <v>103</v>
      </c>
      <c r="G27" s="30">
        <f t="shared" si="8"/>
        <v>103</v>
      </c>
      <c r="H27" s="30">
        <f t="shared" si="8"/>
        <v>103</v>
      </c>
      <c r="I27" s="30">
        <f t="shared" si="8"/>
        <v>103</v>
      </c>
      <c r="J27" s="30">
        <f t="shared" si="8"/>
        <v>103</v>
      </c>
      <c r="K27" s="30">
        <f t="shared" si="8"/>
        <v>103</v>
      </c>
      <c r="L27" s="30">
        <f t="shared" si="8"/>
        <v>103</v>
      </c>
      <c r="M27" s="30">
        <f t="shared" si="8"/>
        <v>103</v>
      </c>
      <c r="N27" s="30">
        <f t="shared" si="8"/>
        <v>103</v>
      </c>
      <c r="O27" s="30">
        <f t="shared" si="8"/>
        <v>103</v>
      </c>
    </row>
    <row r="28" spans="1:15" s="33" customFormat="1" x14ac:dyDescent="0.3">
      <c r="A28" s="24" t="s">
        <v>75</v>
      </c>
      <c r="B28" s="34"/>
      <c r="C28" s="30">
        <v>200</v>
      </c>
      <c r="D28" s="30"/>
      <c r="E28" s="30">
        <f t="shared" si="8"/>
        <v>206</v>
      </c>
      <c r="F28" s="30">
        <f t="shared" si="8"/>
        <v>206</v>
      </c>
      <c r="G28" s="30">
        <f t="shared" si="8"/>
        <v>206</v>
      </c>
      <c r="H28" s="30">
        <f t="shared" si="8"/>
        <v>206</v>
      </c>
      <c r="I28" s="30">
        <f t="shared" si="8"/>
        <v>206</v>
      </c>
      <c r="J28" s="30">
        <f t="shared" si="8"/>
        <v>206</v>
      </c>
      <c r="K28" s="30">
        <f t="shared" si="8"/>
        <v>206</v>
      </c>
      <c r="L28" s="30">
        <f t="shared" si="8"/>
        <v>206</v>
      </c>
      <c r="M28" s="30">
        <f t="shared" si="8"/>
        <v>206</v>
      </c>
      <c r="N28" s="30">
        <f t="shared" si="8"/>
        <v>206</v>
      </c>
      <c r="O28" s="30">
        <f t="shared" si="8"/>
        <v>206</v>
      </c>
    </row>
    <row r="29" spans="1:15" s="33" customFormat="1" x14ac:dyDescent="0.3">
      <c r="A29" s="24" t="s">
        <v>74</v>
      </c>
      <c r="B29" s="34"/>
      <c r="C29" s="30">
        <v>20</v>
      </c>
      <c r="D29" s="30"/>
      <c r="E29" s="30">
        <f t="shared" si="8"/>
        <v>20.6</v>
      </c>
      <c r="F29" s="30">
        <f t="shared" si="8"/>
        <v>20.6</v>
      </c>
      <c r="G29" s="30">
        <f t="shared" si="8"/>
        <v>20.6</v>
      </c>
      <c r="H29" s="30">
        <f t="shared" si="8"/>
        <v>20.6</v>
      </c>
      <c r="I29" s="30">
        <f t="shared" si="8"/>
        <v>20.6</v>
      </c>
      <c r="J29" s="30">
        <f t="shared" si="8"/>
        <v>20.6</v>
      </c>
      <c r="K29" s="30">
        <f t="shared" si="8"/>
        <v>20.6</v>
      </c>
      <c r="L29" s="30">
        <f t="shared" si="8"/>
        <v>20.6</v>
      </c>
      <c r="M29" s="30">
        <f t="shared" si="8"/>
        <v>20.6</v>
      </c>
      <c r="N29" s="30">
        <f t="shared" si="8"/>
        <v>20.6</v>
      </c>
      <c r="O29" s="30">
        <f t="shared" si="8"/>
        <v>20.6</v>
      </c>
    </row>
    <row r="30" spans="1:15" s="33" customFormat="1" x14ac:dyDescent="0.3">
      <c r="A30" s="24" t="s">
        <v>73</v>
      </c>
      <c r="B30" s="34"/>
      <c r="C30" s="30">
        <v>1800</v>
      </c>
      <c r="D30" s="30"/>
      <c r="E30" s="30">
        <f t="shared" si="8"/>
        <v>1854</v>
      </c>
      <c r="F30" s="30">
        <f t="shared" si="8"/>
        <v>1854</v>
      </c>
      <c r="G30" s="30">
        <f t="shared" si="8"/>
        <v>1854</v>
      </c>
      <c r="H30" s="30">
        <f t="shared" si="8"/>
        <v>1854</v>
      </c>
      <c r="I30" s="30">
        <f t="shared" si="8"/>
        <v>1854</v>
      </c>
      <c r="J30" s="30">
        <f t="shared" si="8"/>
        <v>1854</v>
      </c>
      <c r="K30" s="30">
        <f t="shared" si="8"/>
        <v>1854</v>
      </c>
      <c r="L30" s="30">
        <f t="shared" si="8"/>
        <v>1854</v>
      </c>
      <c r="M30" s="30">
        <f t="shared" si="8"/>
        <v>1854</v>
      </c>
      <c r="N30" s="30">
        <f t="shared" si="8"/>
        <v>1854</v>
      </c>
      <c r="O30" s="30">
        <f t="shared" si="8"/>
        <v>1854</v>
      </c>
    </row>
    <row r="31" spans="1:15" s="33" customFormat="1" x14ac:dyDescent="0.3">
      <c r="A31" s="24" t="s">
        <v>72</v>
      </c>
      <c r="B31" s="34"/>
      <c r="C31" s="30">
        <v>115</v>
      </c>
      <c r="D31" s="30"/>
      <c r="E31" s="30">
        <f t="shared" si="8"/>
        <v>118.45</v>
      </c>
      <c r="F31" s="30">
        <f t="shared" si="8"/>
        <v>118.45</v>
      </c>
      <c r="G31" s="30">
        <f t="shared" si="8"/>
        <v>118.45</v>
      </c>
      <c r="H31" s="30">
        <f t="shared" si="8"/>
        <v>118.45</v>
      </c>
      <c r="I31" s="30">
        <f t="shared" si="8"/>
        <v>118.45</v>
      </c>
      <c r="J31" s="30">
        <f t="shared" si="8"/>
        <v>118.45</v>
      </c>
      <c r="K31" s="30">
        <f t="shared" si="8"/>
        <v>118.45</v>
      </c>
      <c r="L31" s="30">
        <f t="shared" si="8"/>
        <v>118.45</v>
      </c>
      <c r="M31" s="30">
        <f t="shared" si="8"/>
        <v>118.45</v>
      </c>
      <c r="N31" s="30">
        <f t="shared" si="8"/>
        <v>118.45</v>
      </c>
      <c r="O31" s="30">
        <f t="shared" si="8"/>
        <v>118.45</v>
      </c>
    </row>
    <row r="32" spans="1:15" s="33" customFormat="1" x14ac:dyDescent="0.3">
      <c r="A32" s="24" t="s">
        <v>71</v>
      </c>
      <c r="B32" s="34"/>
      <c r="C32" s="30">
        <v>139</v>
      </c>
      <c r="D32" s="30"/>
      <c r="E32" s="30">
        <f t="shared" si="8"/>
        <v>143.17000000000002</v>
      </c>
      <c r="F32" s="30">
        <f t="shared" si="8"/>
        <v>143.17000000000002</v>
      </c>
      <c r="G32" s="30">
        <f t="shared" si="8"/>
        <v>143.17000000000002</v>
      </c>
      <c r="H32" s="30">
        <f t="shared" si="8"/>
        <v>143.17000000000002</v>
      </c>
      <c r="I32" s="30">
        <f t="shared" si="8"/>
        <v>143.17000000000002</v>
      </c>
      <c r="J32" s="30">
        <f t="shared" si="8"/>
        <v>143.17000000000002</v>
      </c>
      <c r="K32" s="30">
        <f t="shared" si="8"/>
        <v>143.17000000000002</v>
      </c>
      <c r="L32" s="30">
        <f t="shared" si="8"/>
        <v>143.17000000000002</v>
      </c>
      <c r="M32" s="30">
        <f t="shared" si="8"/>
        <v>143.17000000000002</v>
      </c>
      <c r="N32" s="30">
        <f t="shared" si="8"/>
        <v>143.17000000000002</v>
      </c>
      <c r="O32" s="30">
        <f t="shared" si="8"/>
        <v>143.17000000000002</v>
      </c>
    </row>
    <row r="33" spans="1:16" s="33" customFormat="1" x14ac:dyDescent="0.3">
      <c r="A33" s="24" t="s">
        <v>70</v>
      </c>
      <c r="B33" s="34"/>
      <c r="C33" s="30">
        <v>868.1</v>
      </c>
      <c r="D33" s="30"/>
      <c r="E33" s="30">
        <f t="shared" si="8"/>
        <v>894.14300000000003</v>
      </c>
      <c r="F33" s="30">
        <f t="shared" si="8"/>
        <v>894.14300000000003</v>
      </c>
      <c r="G33" s="30">
        <f t="shared" si="8"/>
        <v>894.14300000000003</v>
      </c>
      <c r="H33" s="30">
        <f t="shared" si="8"/>
        <v>894.14300000000003</v>
      </c>
      <c r="I33" s="30">
        <f t="shared" si="8"/>
        <v>894.14300000000003</v>
      </c>
      <c r="J33" s="30">
        <f t="shared" si="8"/>
        <v>894.14300000000003</v>
      </c>
      <c r="K33" s="30">
        <f t="shared" si="8"/>
        <v>894.14300000000003</v>
      </c>
      <c r="L33" s="30">
        <f t="shared" si="8"/>
        <v>894.14300000000003</v>
      </c>
      <c r="M33" s="30">
        <f t="shared" si="8"/>
        <v>894.14300000000003</v>
      </c>
      <c r="N33" s="30">
        <f t="shared" si="8"/>
        <v>894.14300000000003</v>
      </c>
      <c r="O33" s="30">
        <f t="shared" si="8"/>
        <v>894.14300000000003</v>
      </c>
    </row>
    <row r="34" spans="1:16" s="33" customFormat="1" x14ac:dyDescent="0.3">
      <c r="A34" s="24" t="s">
        <v>69</v>
      </c>
      <c r="B34" s="34"/>
      <c r="C34" s="30">
        <v>133.5</v>
      </c>
      <c r="D34" s="30"/>
      <c r="E34" s="30">
        <f t="shared" si="8"/>
        <v>137.505</v>
      </c>
      <c r="F34" s="30">
        <f t="shared" si="8"/>
        <v>137.505</v>
      </c>
      <c r="G34" s="30">
        <f t="shared" si="8"/>
        <v>137.505</v>
      </c>
      <c r="H34" s="30">
        <f t="shared" si="8"/>
        <v>137.505</v>
      </c>
      <c r="I34" s="30">
        <f t="shared" si="8"/>
        <v>137.505</v>
      </c>
      <c r="J34" s="30">
        <f t="shared" si="8"/>
        <v>137.505</v>
      </c>
      <c r="K34" s="30">
        <f t="shared" si="8"/>
        <v>137.505</v>
      </c>
      <c r="L34" s="30">
        <f t="shared" si="8"/>
        <v>137.505</v>
      </c>
      <c r="M34" s="30">
        <f t="shared" si="8"/>
        <v>137.505</v>
      </c>
      <c r="N34" s="30">
        <f t="shared" si="8"/>
        <v>137.505</v>
      </c>
      <c r="O34" s="30">
        <f t="shared" si="8"/>
        <v>137.505</v>
      </c>
    </row>
    <row r="35" spans="1:16" s="33" customFormat="1" x14ac:dyDescent="0.3">
      <c r="A35" s="24" t="s">
        <v>68</v>
      </c>
      <c r="B35" s="34"/>
      <c r="C35" s="30">
        <v>45</v>
      </c>
      <c r="D35" s="30"/>
      <c r="E35" s="30">
        <f t="shared" ref="D35:O44" si="9">+$C35*1.03</f>
        <v>46.35</v>
      </c>
      <c r="F35" s="30">
        <f t="shared" si="9"/>
        <v>46.35</v>
      </c>
      <c r="G35" s="30">
        <f t="shared" si="9"/>
        <v>46.35</v>
      </c>
      <c r="H35" s="30">
        <f t="shared" si="9"/>
        <v>46.35</v>
      </c>
      <c r="I35" s="30">
        <f t="shared" si="9"/>
        <v>46.35</v>
      </c>
      <c r="J35" s="30">
        <f t="shared" si="9"/>
        <v>46.35</v>
      </c>
      <c r="K35" s="30">
        <f t="shared" si="9"/>
        <v>46.35</v>
      </c>
      <c r="L35" s="30">
        <f t="shared" si="9"/>
        <v>46.35</v>
      </c>
      <c r="M35" s="30">
        <f t="shared" si="9"/>
        <v>46.35</v>
      </c>
      <c r="N35" s="30">
        <f t="shared" si="9"/>
        <v>46.35</v>
      </c>
      <c r="O35" s="30">
        <f t="shared" si="9"/>
        <v>46.35</v>
      </c>
    </row>
    <row r="36" spans="1:16" s="33" customFormat="1" x14ac:dyDescent="0.3">
      <c r="A36" s="24" t="s">
        <v>67</v>
      </c>
      <c r="B36" s="34"/>
      <c r="C36" s="30">
        <v>16.54</v>
      </c>
      <c r="D36" s="30"/>
      <c r="E36" s="30">
        <f t="shared" si="9"/>
        <v>17.036200000000001</v>
      </c>
      <c r="F36" s="30">
        <f t="shared" si="9"/>
        <v>17.036200000000001</v>
      </c>
      <c r="G36" s="30">
        <f t="shared" si="9"/>
        <v>17.036200000000001</v>
      </c>
      <c r="H36" s="30">
        <f t="shared" si="9"/>
        <v>17.036200000000001</v>
      </c>
      <c r="I36" s="30">
        <f t="shared" si="9"/>
        <v>17.036200000000001</v>
      </c>
      <c r="J36" s="30">
        <f t="shared" si="9"/>
        <v>17.036200000000001</v>
      </c>
      <c r="K36" s="30">
        <f t="shared" si="9"/>
        <v>17.036200000000001</v>
      </c>
      <c r="L36" s="30">
        <f t="shared" si="9"/>
        <v>17.036200000000001</v>
      </c>
      <c r="M36" s="30">
        <f t="shared" si="9"/>
        <v>17.036200000000001</v>
      </c>
      <c r="N36" s="30">
        <f t="shared" si="9"/>
        <v>17.036200000000001</v>
      </c>
      <c r="O36" s="30">
        <f t="shared" si="9"/>
        <v>17.036200000000001</v>
      </c>
    </row>
    <row r="37" spans="1:16" s="33" customFormat="1" x14ac:dyDescent="0.3">
      <c r="A37" s="24" t="s">
        <v>66</v>
      </c>
      <c r="B37" s="34"/>
      <c r="C37" s="30">
        <v>300</v>
      </c>
      <c r="D37" s="30"/>
      <c r="E37" s="30">
        <f t="shared" si="9"/>
        <v>309</v>
      </c>
      <c r="F37" s="30">
        <f t="shared" si="9"/>
        <v>309</v>
      </c>
      <c r="G37" s="30">
        <f t="shared" si="9"/>
        <v>309</v>
      </c>
      <c r="H37" s="30">
        <f t="shared" si="9"/>
        <v>309</v>
      </c>
      <c r="I37" s="30">
        <f t="shared" si="9"/>
        <v>309</v>
      </c>
      <c r="J37" s="30">
        <f t="shared" si="9"/>
        <v>309</v>
      </c>
      <c r="K37" s="30">
        <f t="shared" si="9"/>
        <v>309</v>
      </c>
      <c r="L37" s="30">
        <f t="shared" si="9"/>
        <v>309</v>
      </c>
      <c r="M37" s="30">
        <f t="shared" si="9"/>
        <v>309</v>
      </c>
      <c r="N37" s="30">
        <f t="shared" si="9"/>
        <v>309</v>
      </c>
      <c r="O37" s="30">
        <f t="shared" si="9"/>
        <v>309</v>
      </c>
    </row>
    <row r="38" spans="1:16" s="33" customFormat="1" x14ac:dyDescent="0.3">
      <c r="A38" s="24" t="s">
        <v>65</v>
      </c>
      <c r="B38" s="34"/>
      <c r="C38" s="30">
        <v>119</v>
      </c>
      <c r="D38" s="30"/>
      <c r="E38" s="30">
        <f t="shared" si="9"/>
        <v>122.57000000000001</v>
      </c>
      <c r="F38" s="30">
        <f t="shared" si="9"/>
        <v>122.57000000000001</v>
      </c>
      <c r="G38" s="30">
        <f t="shared" si="9"/>
        <v>122.57000000000001</v>
      </c>
      <c r="H38" s="30">
        <f t="shared" si="9"/>
        <v>122.57000000000001</v>
      </c>
      <c r="I38" s="30">
        <f t="shared" si="9"/>
        <v>122.57000000000001</v>
      </c>
      <c r="J38" s="30">
        <f t="shared" si="9"/>
        <v>122.57000000000001</v>
      </c>
      <c r="K38" s="30">
        <f t="shared" si="9"/>
        <v>122.57000000000001</v>
      </c>
      <c r="L38" s="30">
        <f t="shared" si="9"/>
        <v>122.57000000000001</v>
      </c>
      <c r="M38" s="30">
        <f t="shared" si="9"/>
        <v>122.57000000000001</v>
      </c>
      <c r="N38" s="30">
        <f t="shared" si="9"/>
        <v>122.57000000000001</v>
      </c>
      <c r="O38" s="30">
        <f t="shared" si="9"/>
        <v>122.57000000000001</v>
      </c>
    </row>
    <row r="39" spans="1:16" s="33" customFormat="1" x14ac:dyDescent="0.3">
      <c r="A39" s="24" t="s">
        <v>64</v>
      </c>
      <c r="B39" s="34"/>
      <c r="C39" s="30">
        <v>350</v>
      </c>
      <c r="D39" s="30"/>
      <c r="E39" s="30">
        <f t="shared" si="9"/>
        <v>360.5</v>
      </c>
      <c r="F39" s="30">
        <f t="shared" si="9"/>
        <v>360.5</v>
      </c>
      <c r="G39" s="30">
        <f t="shared" si="9"/>
        <v>360.5</v>
      </c>
      <c r="H39" s="30">
        <f t="shared" si="9"/>
        <v>360.5</v>
      </c>
      <c r="I39" s="30">
        <f t="shared" si="9"/>
        <v>360.5</v>
      </c>
      <c r="J39" s="30">
        <f t="shared" si="9"/>
        <v>360.5</v>
      </c>
      <c r="K39" s="30">
        <f t="shared" si="9"/>
        <v>360.5</v>
      </c>
      <c r="L39" s="30">
        <f t="shared" si="9"/>
        <v>360.5</v>
      </c>
      <c r="M39" s="30">
        <f t="shared" si="9"/>
        <v>360.5</v>
      </c>
      <c r="N39" s="30">
        <f t="shared" si="9"/>
        <v>360.5</v>
      </c>
      <c r="O39" s="30">
        <f t="shared" si="9"/>
        <v>360.5</v>
      </c>
    </row>
    <row r="40" spans="1:16" s="33" customFormat="1" x14ac:dyDescent="0.3">
      <c r="A40" s="24" t="s">
        <v>63</v>
      </c>
      <c r="B40" s="34"/>
      <c r="C40" s="30">
        <v>800</v>
      </c>
      <c r="D40" s="30"/>
      <c r="E40" s="30">
        <f t="shared" si="9"/>
        <v>824</v>
      </c>
      <c r="F40" s="30">
        <f t="shared" si="9"/>
        <v>824</v>
      </c>
      <c r="G40" s="30">
        <f t="shared" si="9"/>
        <v>824</v>
      </c>
      <c r="H40" s="30">
        <f t="shared" si="9"/>
        <v>824</v>
      </c>
      <c r="I40" s="30">
        <f t="shared" si="9"/>
        <v>824</v>
      </c>
      <c r="J40" s="30">
        <f t="shared" si="9"/>
        <v>824</v>
      </c>
      <c r="K40" s="30">
        <f t="shared" si="9"/>
        <v>824</v>
      </c>
      <c r="L40" s="30">
        <f t="shared" si="9"/>
        <v>824</v>
      </c>
      <c r="M40" s="30">
        <f t="shared" si="9"/>
        <v>824</v>
      </c>
      <c r="N40" s="30">
        <f t="shared" si="9"/>
        <v>824</v>
      </c>
      <c r="O40" s="30">
        <f t="shared" si="9"/>
        <v>824</v>
      </c>
    </row>
    <row r="41" spans="1:16" s="33" customFormat="1" x14ac:dyDescent="0.3">
      <c r="A41" s="24" t="s">
        <v>62</v>
      </c>
      <c r="B41" s="34"/>
      <c r="C41" s="30">
        <v>188</v>
      </c>
      <c r="D41" s="30"/>
      <c r="E41" s="30">
        <f t="shared" si="9"/>
        <v>193.64000000000001</v>
      </c>
      <c r="F41" s="30">
        <f t="shared" si="9"/>
        <v>193.64000000000001</v>
      </c>
      <c r="G41" s="30">
        <f t="shared" si="9"/>
        <v>193.64000000000001</v>
      </c>
      <c r="H41" s="30">
        <f t="shared" si="9"/>
        <v>193.64000000000001</v>
      </c>
      <c r="I41" s="30">
        <f t="shared" si="9"/>
        <v>193.64000000000001</v>
      </c>
      <c r="J41" s="30">
        <f t="shared" si="9"/>
        <v>193.64000000000001</v>
      </c>
      <c r="K41" s="30">
        <f t="shared" si="9"/>
        <v>193.64000000000001</v>
      </c>
      <c r="L41" s="30">
        <f t="shared" si="9"/>
        <v>193.64000000000001</v>
      </c>
      <c r="M41" s="30">
        <f t="shared" si="9"/>
        <v>193.64000000000001</v>
      </c>
      <c r="N41" s="30">
        <f t="shared" si="9"/>
        <v>193.64000000000001</v>
      </c>
      <c r="O41" s="30">
        <f t="shared" si="9"/>
        <v>193.64000000000001</v>
      </c>
    </row>
    <row r="42" spans="1:16" s="33" customFormat="1" x14ac:dyDescent="0.3">
      <c r="A42" s="24" t="s">
        <v>61</v>
      </c>
      <c r="B42" s="34"/>
      <c r="C42" s="30">
        <v>50</v>
      </c>
      <c r="D42" s="30"/>
      <c r="E42" s="30">
        <f t="shared" si="9"/>
        <v>51.5</v>
      </c>
      <c r="F42" s="30">
        <f t="shared" si="9"/>
        <v>51.5</v>
      </c>
      <c r="G42" s="30">
        <f t="shared" si="9"/>
        <v>51.5</v>
      </c>
      <c r="H42" s="30">
        <f t="shared" si="9"/>
        <v>51.5</v>
      </c>
      <c r="I42" s="30">
        <f t="shared" si="9"/>
        <v>51.5</v>
      </c>
      <c r="J42" s="30">
        <f t="shared" si="9"/>
        <v>51.5</v>
      </c>
      <c r="K42" s="30">
        <f t="shared" si="9"/>
        <v>51.5</v>
      </c>
      <c r="L42" s="30">
        <f t="shared" si="9"/>
        <v>51.5</v>
      </c>
      <c r="M42" s="30">
        <f t="shared" si="9"/>
        <v>51.5</v>
      </c>
      <c r="N42" s="30">
        <f t="shared" si="9"/>
        <v>51.5</v>
      </c>
      <c r="O42" s="30">
        <f t="shared" si="9"/>
        <v>51.5</v>
      </c>
    </row>
    <row r="43" spans="1:16" s="33" customFormat="1" x14ac:dyDescent="0.3">
      <c r="A43" s="24" t="s">
        <v>60</v>
      </c>
      <c r="B43" s="34"/>
      <c r="C43" s="30">
        <v>181</v>
      </c>
      <c r="D43" s="30"/>
      <c r="E43" s="30">
        <f t="shared" si="9"/>
        <v>186.43</v>
      </c>
      <c r="F43" s="30">
        <f t="shared" si="9"/>
        <v>186.43</v>
      </c>
      <c r="G43" s="30">
        <f t="shared" si="9"/>
        <v>186.43</v>
      </c>
      <c r="H43" s="30">
        <f t="shared" si="9"/>
        <v>186.43</v>
      </c>
      <c r="I43" s="30">
        <f t="shared" si="9"/>
        <v>186.43</v>
      </c>
      <c r="J43" s="30">
        <f t="shared" si="9"/>
        <v>186.43</v>
      </c>
      <c r="K43" s="30">
        <f t="shared" si="9"/>
        <v>186.43</v>
      </c>
      <c r="L43" s="30">
        <f t="shared" si="9"/>
        <v>186.43</v>
      </c>
      <c r="M43" s="30">
        <f t="shared" si="9"/>
        <v>186.43</v>
      </c>
      <c r="N43" s="30">
        <f t="shared" si="9"/>
        <v>186.43</v>
      </c>
      <c r="O43" s="30">
        <f t="shared" si="9"/>
        <v>186.43</v>
      </c>
    </row>
    <row r="44" spans="1:16" s="33" customFormat="1" x14ac:dyDescent="0.3">
      <c r="A44" s="24" t="s">
        <v>59</v>
      </c>
      <c r="B44" s="34"/>
      <c r="C44" s="30">
        <v>408</v>
      </c>
      <c r="D44" s="30"/>
      <c r="E44" s="30">
        <f t="shared" si="9"/>
        <v>420.24</v>
      </c>
      <c r="F44" s="30">
        <f t="shared" si="9"/>
        <v>420.24</v>
      </c>
      <c r="G44" s="30">
        <f t="shared" si="9"/>
        <v>420.24</v>
      </c>
      <c r="H44" s="30">
        <f t="shared" si="9"/>
        <v>420.24</v>
      </c>
      <c r="I44" s="30">
        <f t="shared" si="9"/>
        <v>420.24</v>
      </c>
      <c r="J44" s="30">
        <f t="shared" si="9"/>
        <v>420.24</v>
      </c>
      <c r="K44" s="30">
        <f t="shared" si="9"/>
        <v>420.24</v>
      </c>
      <c r="L44" s="30">
        <f t="shared" si="9"/>
        <v>420.24</v>
      </c>
      <c r="M44" s="30">
        <f t="shared" si="9"/>
        <v>420.24</v>
      </c>
      <c r="N44" s="30">
        <f t="shared" si="9"/>
        <v>420.24</v>
      </c>
      <c r="O44" s="30">
        <f t="shared" si="9"/>
        <v>420.24</v>
      </c>
    </row>
    <row r="45" spans="1:16" s="33" customFormat="1" x14ac:dyDescent="0.3">
      <c r="A45" s="24" t="s">
        <v>58</v>
      </c>
      <c r="B45" s="34"/>
      <c r="C45" s="30">
        <v>5000</v>
      </c>
      <c r="D45" s="30"/>
      <c r="E45" s="30">
        <v>5000</v>
      </c>
      <c r="F45" s="30">
        <v>5000</v>
      </c>
      <c r="G45" s="30">
        <v>5000</v>
      </c>
      <c r="H45" s="30">
        <v>5000</v>
      </c>
      <c r="I45" s="30">
        <v>5000</v>
      </c>
      <c r="J45" s="30">
        <v>5000</v>
      </c>
      <c r="K45" s="30">
        <v>5000</v>
      </c>
      <c r="L45" s="30">
        <v>5000</v>
      </c>
      <c r="M45" s="30">
        <v>5000</v>
      </c>
      <c r="N45" s="30">
        <v>5000</v>
      </c>
      <c r="O45" s="30">
        <v>5000</v>
      </c>
    </row>
    <row r="46" spans="1:16" s="33" customFormat="1" x14ac:dyDescent="0.3">
      <c r="A46" s="24" t="s">
        <v>57</v>
      </c>
      <c r="B46" s="34"/>
      <c r="C46" s="30"/>
      <c r="D46" s="30"/>
      <c r="E46" s="30">
        <f t="shared" ref="E46:I46" si="10">(3000*37)/(3)</f>
        <v>37000</v>
      </c>
      <c r="F46" s="30">
        <f>(3000*37)/(3)</f>
        <v>37000</v>
      </c>
      <c r="G46" s="30">
        <f t="shared" si="10"/>
        <v>37000</v>
      </c>
      <c r="H46" s="30">
        <f t="shared" si="10"/>
        <v>37000</v>
      </c>
      <c r="I46" s="30">
        <f t="shared" si="10"/>
        <v>37000</v>
      </c>
      <c r="J46" s="30"/>
      <c r="K46" s="30"/>
      <c r="L46" s="30"/>
      <c r="M46" s="30"/>
      <c r="N46" s="30"/>
      <c r="O46" s="30"/>
      <c r="P46" s="95">
        <f>SUM(D46:O46)</f>
        <v>185000</v>
      </c>
    </row>
    <row r="47" spans="1:16" s="24" customFormat="1" x14ac:dyDescent="0.3">
      <c r="A47" s="24" t="s">
        <v>56</v>
      </c>
      <c r="C47" s="30">
        <v>100</v>
      </c>
      <c r="D47" s="30"/>
      <c r="E47" s="30">
        <v>100</v>
      </c>
      <c r="F47" s="30">
        <v>100</v>
      </c>
      <c r="G47" s="30">
        <v>100</v>
      </c>
      <c r="H47" s="30">
        <v>100</v>
      </c>
      <c r="I47" s="30">
        <v>100</v>
      </c>
      <c r="J47" s="30">
        <v>100</v>
      </c>
      <c r="K47" s="30">
        <v>100</v>
      </c>
      <c r="L47" s="30">
        <v>100</v>
      </c>
      <c r="M47" s="30">
        <v>100</v>
      </c>
      <c r="N47" s="30">
        <v>100</v>
      </c>
      <c r="O47" s="30">
        <v>100</v>
      </c>
      <c r="P47" s="27">
        <f>P46/37</f>
        <v>5000</v>
      </c>
    </row>
    <row r="48" spans="1:16" s="24" customFormat="1" x14ac:dyDescent="0.3">
      <c r="A48" s="24" t="s">
        <v>55</v>
      </c>
      <c r="C48" s="30"/>
      <c r="D48" s="30"/>
      <c r="E48" s="30">
        <f t="shared" ref="D48:O48" si="11">(44125-38125)/12</f>
        <v>500</v>
      </c>
      <c r="F48" s="30">
        <f t="shared" si="11"/>
        <v>500</v>
      </c>
      <c r="G48" s="30">
        <f t="shared" si="11"/>
        <v>500</v>
      </c>
      <c r="H48" s="30">
        <f t="shared" si="11"/>
        <v>500</v>
      </c>
      <c r="I48" s="30">
        <f t="shared" si="11"/>
        <v>500</v>
      </c>
      <c r="J48" s="30">
        <f t="shared" si="11"/>
        <v>500</v>
      </c>
      <c r="K48" s="30">
        <f t="shared" si="11"/>
        <v>500</v>
      </c>
      <c r="L48" s="30">
        <f t="shared" si="11"/>
        <v>500</v>
      </c>
      <c r="M48" s="30">
        <f t="shared" si="11"/>
        <v>500</v>
      </c>
      <c r="N48" s="30">
        <f t="shared" si="11"/>
        <v>500</v>
      </c>
      <c r="O48" s="30">
        <f t="shared" si="11"/>
        <v>500</v>
      </c>
    </row>
    <row r="49" spans="1:26" s="24" customFormat="1" x14ac:dyDescent="0.3">
      <c r="A49" s="24" t="s">
        <v>143</v>
      </c>
      <c r="C49" s="30"/>
      <c r="D49" s="30"/>
      <c r="E49" s="30">
        <v>10000</v>
      </c>
      <c r="F49" s="30">
        <v>10000</v>
      </c>
      <c r="G49" s="30">
        <v>10000</v>
      </c>
      <c r="H49" s="30">
        <v>10000</v>
      </c>
      <c r="I49" s="30">
        <v>10000</v>
      </c>
      <c r="J49" s="30">
        <v>10000</v>
      </c>
      <c r="K49" s="30">
        <v>10000</v>
      </c>
      <c r="L49" s="30">
        <v>10000</v>
      </c>
      <c r="M49" s="30">
        <v>10000</v>
      </c>
      <c r="N49" s="30">
        <v>10000</v>
      </c>
      <c r="O49" s="30">
        <v>10000</v>
      </c>
    </row>
    <row r="50" spans="1:26" s="24" customFormat="1" x14ac:dyDescent="0.3">
      <c r="A50" s="79" t="s">
        <v>172</v>
      </c>
      <c r="C50" s="30"/>
      <c r="D50" s="30"/>
      <c r="E50" s="30">
        <v>10000</v>
      </c>
      <c r="F50" s="30">
        <v>10000</v>
      </c>
      <c r="G50" s="30">
        <v>10000</v>
      </c>
      <c r="H50" s="30">
        <v>10000</v>
      </c>
      <c r="I50" s="30">
        <v>20000</v>
      </c>
      <c r="J50" s="30">
        <v>30000</v>
      </c>
      <c r="K50" s="30">
        <v>40000</v>
      </c>
      <c r="L50" s="30">
        <v>50000</v>
      </c>
      <c r="M50" s="30">
        <v>60000</v>
      </c>
      <c r="N50" s="30">
        <v>70000</v>
      </c>
      <c r="O50" s="30">
        <v>80000</v>
      </c>
    </row>
    <row r="51" spans="1:26" s="24" customFormat="1" x14ac:dyDescent="0.3">
      <c r="A51" s="79" t="s">
        <v>171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26" s="26" customFormat="1" x14ac:dyDescent="0.3">
      <c r="A52" s="28" t="s">
        <v>129</v>
      </c>
      <c r="B52" s="27"/>
      <c r="C52" s="27">
        <f t="shared" ref="C52:O52" si="12">SUM(C18:C51)</f>
        <v>15623.14</v>
      </c>
      <c r="D52" s="27"/>
      <c r="E52" s="27">
        <f t="shared" si="12"/>
        <v>78831.500866666669</v>
      </c>
      <c r="F52" s="27">
        <f t="shared" si="12"/>
        <v>78831.500866666669</v>
      </c>
      <c r="G52" s="27">
        <f t="shared" si="12"/>
        <v>78831.500866666669</v>
      </c>
      <c r="H52" s="27">
        <f t="shared" si="12"/>
        <v>78831.500866666669</v>
      </c>
      <c r="I52" s="27">
        <f t="shared" si="12"/>
        <v>88831.500866666669</v>
      </c>
      <c r="J52" s="27">
        <f t="shared" si="12"/>
        <v>61831.500866666669</v>
      </c>
      <c r="K52" s="27">
        <f t="shared" si="12"/>
        <v>71831.500866666669</v>
      </c>
      <c r="L52" s="27">
        <f t="shared" si="12"/>
        <v>81831.500866666669</v>
      </c>
      <c r="M52" s="27">
        <f t="shared" si="12"/>
        <v>91831.500866666669</v>
      </c>
      <c r="N52" s="27">
        <f t="shared" si="12"/>
        <v>101831.50086666667</v>
      </c>
      <c r="O52" s="27">
        <f t="shared" si="12"/>
        <v>111831.50086666667</v>
      </c>
      <c r="P52" s="95">
        <f>SUM(D52:O52)</f>
        <v>925146.50953333336</v>
      </c>
    </row>
    <row r="53" spans="1:26" s="24" customFormat="1" x14ac:dyDescent="0.3"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26" x14ac:dyDescent="0.3">
      <c r="A54" s="7" t="s">
        <v>182</v>
      </c>
      <c r="B54" s="7"/>
      <c r="C54" s="8">
        <v>4</v>
      </c>
      <c r="D54" s="96"/>
      <c r="E54" s="96">
        <f>E3</f>
        <v>4</v>
      </c>
      <c r="F54" s="96">
        <f>F3</f>
        <v>4</v>
      </c>
      <c r="G54" s="96">
        <f>G3</f>
        <v>4.5</v>
      </c>
      <c r="H54" s="96">
        <f>H3</f>
        <v>5</v>
      </c>
      <c r="I54" s="96">
        <f>I3</f>
        <v>5.5</v>
      </c>
      <c r="J54" s="96">
        <f>J3</f>
        <v>6.5</v>
      </c>
      <c r="K54" s="96">
        <f>K3</f>
        <v>8.5</v>
      </c>
      <c r="L54" s="96">
        <f>L3</f>
        <v>10.5</v>
      </c>
      <c r="M54" s="96">
        <f>M3</f>
        <v>13.5</v>
      </c>
      <c r="N54" s="96">
        <f>N3</f>
        <v>16.5</v>
      </c>
      <c r="O54" s="96">
        <f>O3</f>
        <v>19.5</v>
      </c>
      <c r="P54" s="8">
        <v>22.5</v>
      </c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3">
      <c r="A55" s="9" t="s">
        <v>131</v>
      </c>
      <c r="B55" s="9"/>
      <c r="C55" s="71" t="s">
        <v>144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23" t="s">
        <v>165</v>
      </c>
      <c r="C56" s="13"/>
      <c r="D56" s="13"/>
      <c r="E56" s="13"/>
      <c r="F56" s="13">
        <v>5000</v>
      </c>
      <c r="G56" s="13">
        <v>5000</v>
      </c>
      <c r="H56" s="13">
        <v>8000</v>
      </c>
      <c r="I56" s="13">
        <v>8000</v>
      </c>
      <c r="J56" s="13">
        <v>8000</v>
      </c>
      <c r="K56" s="13">
        <v>8000</v>
      </c>
      <c r="L56" s="13">
        <v>10000</v>
      </c>
      <c r="M56" s="13">
        <v>10000</v>
      </c>
      <c r="N56" s="13">
        <v>10000</v>
      </c>
      <c r="O56" s="13">
        <v>10000</v>
      </c>
    </row>
    <row r="57" spans="1:26" x14ac:dyDescent="0.3">
      <c r="A57" s="4" t="s">
        <v>22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26" x14ac:dyDescent="0.3">
      <c r="A58" s="4" t="s">
        <v>23</v>
      </c>
      <c r="C58" s="13"/>
      <c r="D58" s="13"/>
      <c r="E58" s="13"/>
      <c r="F58" s="13"/>
      <c r="G58" s="13"/>
      <c r="H58" s="13">
        <v>40000</v>
      </c>
      <c r="I58" s="13"/>
      <c r="J58" s="13"/>
      <c r="K58" s="13"/>
      <c r="L58" s="13"/>
      <c r="M58" s="13"/>
      <c r="N58" s="13"/>
      <c r="O58" s="13"/>
    </row>
    <row r="59" spans="1:26" ht="15.75" customHeight="1" x14ac:dyDescent="0.3">
      <c r="A59" s="4" t="s">
        <v>24</v>
      </c>
      <c r="C59" s="13"/>
      <c r="D59" s="13"/>
      <c r="E59" s="13"/>
      <c r="F59" s="13"/>
      <c r="G59" s="13"/>
      <c r="H59" s="13"/>
      <c r="I59" s="13">
        <v>13000</v>
      </c>
      <c r="J59" s="13"/>
      <c r="K59" s="13"/>
      <c r="L59" s="13"/>
      <c r="M59" s="13"/>
      <c r="N59" s="13"/>
      <c r="O59" s="13"/>
    </row>
    <row r="60" spans="1:26" ht="15.75" customHeight="1" x14ac:dyDescent="0.3">
      <c r="A60" s="23" t="s">
        <v>169</v>
      </c>
      <c r="C60" s="13"/>
      <c r="D60" s="13"/>
      <c r="E60" s="13"/>
      <c r="F60" s="13"/>
      <c r="G60" s="13"/>
      <c r="H60" s="13"/>
      <c r="I60" s="13"/>
      <c r="J60" s="13"/>
      <c r="K60" s="13">
        <v>40000</v>
      </c>
      <c r="L60" s="13">
        <v>40000</v>
      </c>
      <c r="M60" s="13">
        <v>40000</v>
      </c>
      <c r="N60" s="13">
        <v>40000</v>
      </c>
      <c r="O60" s="13">
        <v>40000</v>
      </c>
    </row>
    <row r="61" spans="1:26" ht="15.75" customHeight="1" x14ac:dyDescent="0.3">
      <c r="A61" s="14" t="s">
        <v>25</v>
      </c>
      <c r="C61" s="13"/>
      <c r="D61" s="13"/>
      <c r="E61" s="13">
        <v>2600</v>
      </c>
      <c r="F61" s="13">
        <v>2600</v>
      </c>
      <c r="G61" s="13">
        <v>2600</v>
      </c>
      <c r="H61" s="13"/>
      <c r="I61" s="13"/>
      <c r="J61" s="13"/>
      <c r="K61" s="13"/>
      <c r="L61" s="13"/>
      <c r="M61" s="13"/>
      <c r="N61" s="13"/>
      <c r="O61" s="13"/>
    </row>
    <row r="62" spans="1:26" ht="15.75" customHeight="1" x14ac:dyDescent="0.3">
      <c r="A62" s="94" t="s">
        <v>180</v>
      </c>
      <c r="C62" s="13"/>
      <c r="D62" s="13"/>
      <c r="E62" s="13">
        <v>7400</v>
      </c>
      <c r="F62" s="13">
        <v>7400</v>
      </c>
      <c r="G62" s="13">
        <v>7400</v>
      </c>
      <c r="H62" s="13">
        <v>7400</v>
      </c>
      <c r="I62" s="13">
        <v>10000</v>
      </c>
      <c r="J62" s="13">
        <v>15000</v>
      </c>
      <c r="K62" s="13">
        <v>20000</v>
      </c>
      <c r="L62" s="13">
        <v>25000</v>
      </c>
      <c r="M62" s="13">
        <v>30000</v>
      </c>
      <c r="N62" s="13">
        <v>35000</v>
      </c>
      <c r="O62" s="13">
        <v>40000</v>
      </c>
    </row>
    <row r="63" spans="1:26" ht="15.75" customHeight="1" x14ac:dyDescent="0.3">
      <c r="A63" s="15" t="s">
        <v>26</v>
      </c>
      <c r="B63" s="15"/>
      <c r="C63" s="21">
        <f t="shared" ref="C63:O63" si="13">SUM(C56:C62)</f>
        <v>0</v>
      </c>
      <c r="D63" s="21"/>
      <c r="E63" s="21">
        <f t="shared" si="13"/>
        <v>10000</v>
      </c>
      <c r="F63" s="21">
        <f t="shared" si="13"/>
        <v>15000</v>
      </c>
      <c r="G63" s="21">
        <f t="shared" si="13"/>
        <v>15000</v>
      </c>
      <c r="H63" s="21">
        <f t="shared" si="13"/>
        <v>55400</v>
      </c>
      <c r="I63" s="21">
        <f t="shared" si="13"/>
        <v>31000</v>
      </c>
      <c r="J63" s="21">
        <f t="shared" si="13"/>
        <v>23000</v>
      </c>
      <c r="K63" s="21">
        <f t="shared" si="13"/>
        <v>68000</v>
      </c>
      <c r="L63" s="21">
        <f>SUM(L56:L62)</f>
        <v>75000</v>
      </c>
      <c r="M63" s="21">
        <f t="shared" si="13"/>
        <v>80000</v>
      </c>
      <c r="N63" s="21">
        <f t="shared" si="13"/>
        <v>85000</v>
      </c>
      <c r="O63" s="21">
        <f t="shared" si="13"/>
        <v>90000</v>
      </c>
      <c r="P63" s="95">
        <f>SUM(D63:O63)</f>
        <v>547400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s="24" customFormat="1" x14ac:dyDescent="0.3"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26" x14ac:dyDescent="0.3">
      <c r="A65" s="1" t="s">
        <v>130</v>
      </c>
      <c r="B65" s="23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3">
      <c r="A66" s="4" t="s">
        <v>33</v>
      </c>
      <c r="B66" s="23"/>
      <c r="C66" s="19"/>
      <c r="D66" s="19"/>
      <c r="E66" s="19"/>
      <c r="F66" s="19"/>
      <c r="G66" s="19"/>
      <c r="H66" s="19">
        <v>10000</v>
      </c>
      <c r="I66" s="19"/>
      <c r="J66" s="19"/>
      <c r="K66" s="19">
        <v>10000</v>
      </c>
      <c r="L66" s="19"/>
      <c r="M66" s="19"/>
      <c r="N66" s="19">
        <v>10000</v>
      </c>
      <c r="O66" s="19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3">
      <c r="A67" s="4" t="s">
        <v>34</v>
      </c>
      <c r="B67" s="23"/>
      <c r="C67" s="19"/>
      <c r="D67" s="19"/>
      <c r="E67" s="19"/>
      <c r="F67" s="19"/>
      <c r="G67" s="19"/>
      <c r="I67" s="19">
        <v>15000</v>
      </c>
      <c r="J67" s="19">
        <v>15000</v>
      </c>
      <c r="K67" s="19">
        <v>20000</v>
      </c>
      <c r="L67" s="19">
        <v>25000</v>
      </c>
      <c r="M67" s="19">
        <v>30000</v>
      </c>
      <c r="N67" s="19">
        <v>35000</v>
      </c>
      <c r="O67" s="19">
        <v>40000</v>
      </c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3">
      <c r="A68" s="23" t="s">
        <v>166</v>
      </c>
      <c r="B68" s="23"/>
      <c r="C68" s="19"/>
      <c r="D68" s="19"/>
      <c r="E68" s="19"/>
      <c r="F68" s="19">
        <v>25000</v>
      </c>
      <c r="G68" s="19">
        <v>25000</v>
      </c>
      <c r="H68" s="19">
        <v>25000</v>
      </c>
      <c r="I68" s="19">
        <v>35000</v>
      </c>
      <c r="J68" s="19">
        <v>35000</v>
      </c>
      <c r="K68" s="19">
        <v>35000</v>
      </c>
      <c r="L68" s="19">
        <v>35000</v>
      </c>
      <c r="M68" s="19">
        <v>45000</v>
      </c>
      <c r="N68" s="19">
        <v>45000</v>
      </c>
      <c r="O68" s="19">
        <v>45000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3">
      <c r="A69" s="23" t="s">
        <v>35</v>
      </c>
      <c r="B69" s="23"/>
      <c r="C69" s="19">
        <v>100</v>
      </c>
      <c r="D69" s="19"/>
      <c r="E69" s="19">
        <v>100</v>
      </c>
      <c r="F69" s="19">
        <v>100</v>
      </c>
      <c r="G69" s="19">
        <v>100</v>
      </c>
      <c r="H69" s="19">
        <v>100</v>
      </c>
      <c r="I69" s="19"/>
      <c r="J69" s="19"/>
      <c r="K69" s="19"/>
      <c r="L69" s="19"/>
      <c r="M69" s="19"/>
      <c r="N69" s="19"/>
      <c r="O69" s="19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3">
      <c r="A70" s="23" t="s">
        <v>36</v>
      </c>
      <c r="B70" s="23"/>
      <c r="C70" s="19">
        <v>409</v>
      </c>
      <c r="D70" s="19"/>
      <c r="E70" s="19">
        <v>409</v>
      </c>
      <c r="F70" s="19">
        <v>409</v>
      </c>
      <c r="G70" s="19">
        <v>409</v>
      </c>
      <c r="H70" s="19">
        <v>409</v>
      </c>
      <c r="I70" s="19"/>
      <c r="J70" s="19"/>
      <c r="K70" s="19"/>
      <c r="L70" s="19"/>
      <c r="M70" s="19"/>
      <c r="N70" s="19"/>
      <c r="O70" s="19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3">
      <c r="A71" s="23" t="s">
        <v>37</v>
      </c>
      <c r="B71" s="23"/>
      <c r="C71" s="19">
        <v>35000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">
      <c r="A72" s="23" t="s">
        <v>173</v>
      </c>
      <c r="B72" s="23"/>
      <c r="C72" s="19">
        <v>15000</v>
      </c>
      <c r="D72" s="19"/>
      <c r="E72" s="19">
        <v>15000</v>
      </c>
      <c r="F72" s="19">
        <v>15000</v>
      </c>
      <c r="G72" s="19">
        <v>15000</v>
      </c>
      <c r="H72" s="19">
        <v>15000</v>
      </c>
      <c r="I72" s="19">
        <v>15000</v>
      </c>
      <c r="J72" s="19">
        <v>15000</v>
      </c>
      <c r="K72" s="19">
        <v>15000</v>
      </c>
      <c r="L72" s="19">
        <v>15000</v>
      </c>
      <c r="M72" s="19">
        <v>15000</v>
      </c>
      <c r="N72" s="19">
        <v>15000</v>
      </c>
      <c r="O72" s="19">
        <v>15000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3">
      <c r="A73" s="104" t="s">
        <v>38</v>
      </c>
      <c r="B73" s="105"/>
      <c r="C73" s="19"/>
      <c r="D73" s="19"/>
      <c r="E73" s="19"/>
      <c r="F73" s="19">
        <v>1000</v>
      </c>
      <c r="G73" s="19">
        <v>1000</v>
      </c>
      <c r="H73" s="19">
        <v>1000</v>
      </c>
      <c r="I73" s="19">
        <v>2000</v>
      </c>
      <c r="J73" s="19">
        <v>2000</v>
      </c>
      <c r="K73" s="19">
        <v>2000</v>
      </c>
      <c r="L73" s="19">
        <v>4000</v>
      </c>
      <c r="M73" s="19">
        <v>4000</v>
      </c>
      <c r="N73" s="19">
        <v>4000</v>
      </c>
      <c r="O73" s="19">
        <v>4000</v>
      </c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3">
      <c r="A74" s="15" t="s">
        <v>39</v>
      </c>
      <c r="B74" s="20"/>
      <c r="C74" s="21">
        <f>SUM(C66:C73)</f>
        <v>50509</v>
      </c>
      <c r="D74" s="21"/>
      <c r="E74" s="21">
        <f t="shared" ref="D74:N74" si="14">SUM(E66:E73)</f>
        <v>15509</v>
      </c>
      <c r="F74" s="21">
        <f t="shared" si="14"/>
        <v>41509</v>
      </c>
      <c r="G74" s="21">
        <f t="shared" si="14"/>
        <v>41509</v>
      </c>
      <c r="H74" s="21">
        <f t="shared" si="14"/>
        <v>51509</v>
      </c>
      <c r="I74" s="21">
        <f t="shared" si="14"/>
        <v>67000</v>
      </c>
      <c r="J74" s="21">
        <f t="shared" si="14"/>
        <v>67000</v>
      </c>
      <c r="K74" s="21">
        <f t="shared" si="14"/>
        <v>82000</v>
      </c>
      <c r="L74" s="21">
        <f t="shared" si="14"/>
        <v>79000</v>
      </c>
      <c r="M74" s="21">
        <f t="shared" si="14"/>
        <v>94000</v>
      </c>
      <c r="N74" s="21">
        <f t="shared" si="14"/>
        <v>109000</v>
      </c>
      <c r="O74" s="21">
        <f>SUM(O66:O73)</f>
        <v>104000</v>
      </c>
      <c r="P74" s="95">
        <f>SUM(D74:O74)</f>
        <v>752036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s="24" customFormat="1" x14ac:dyDescent="0.3"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26" x14ac:dyDescent="0.3">
      <c r="A76" s="1" t="s">
        <v>132</v>
      </c>
      <c r="B76" s="23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3">
      <c r="A77" s="23" t="s">
        <v>170</v>
      </c>
      <c r="B77" s="23"/>
      <c r="C77" s="19"/>
      <c r="D77" s="19"/>
      <c r="E77" s="19"/>
      <c r="F77" s="19"/>
      <c r="G77" s="19"/>
      <c r="H77" s="19"/>
      <c r="I77" s="19"/>
      <c r="J77" s="19">
        <v>10000</v>
      </c>
      <c r="K77" s="19">
        <v>10000</v>
      </c>
      <c r="L77" s="19">
        <v>15000</v>
      </c>
      <c r="M77" s="19">
        <v>20000</v>
      </c>
      <c r="N77" s="19">
        <v>25000</v>
      </c>
      <c r="O77" s="19">
        <v>30000</v>
      </c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3">
      <c r="A78" s="23" t="s">
        <v>42</v>
      </c>
      <c r="B78" s="23"/>
      <c r="C78" s="19">
        <v>20</v>
      </c>
      <c r="D78" s="19"/>
      <c r="E78" s="19">
        <v>20</v>
      </c>
      <c r="F78" s="19">
        <v>20</v>
      </c>
      <c r="G78" s="19">
        <v>20</v>
      </c>
      <c r="H78" s="19">
        <v>20</v>
      </c>
      <c r="I78" s="19">
        <v>20</v>
      </c>
      <c r="J78" s="19">
        <v>20</v>
      </c>
      <c r="K78" s="19">
        <v>20</v>
      </c>
      <c r="L78" s="19">
        <v>20</v>
      </c>
      <c r="M78" s="19">
        <v>20</v>
      </c>
      <c r="N78" s="19">
        <v>20</v>
      </c>
      <c r="O78" s="19">
        <v>20</v>
      </c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3">
      <c r="A79" s="23" t="s">
        <v>43</v>
      </c>
      <c r="B79" s="23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3">
      <c r="A80" s="104"/>
      <c r="B80" s="105"/>
      <c r="C80" s="19"/>
      <c r="D80" s="19"/>
      <c r="E80" s="19"/>
      <c r="F80" s="19"/>
      <c r="G80" s="19"/>
      <c r="H80" s="19"/>
      <c r="I80" s="19"/>
      <c r="J80" s="19"/>
      <c r="K80" s="19"/>
      <c r="L80" s="19"/>
      <c r="N80" s="19"/>
      <c r="O80" s="19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3">
      <c r="A81" s="23" t="s">
        <v>44</v>
      </c>
      <c r="B81" s="23"/>
      <c r="C81" s="19"/>
      <c r="D81" s="19"/>
      <c r="E81" s="19"/>
      <c r="F81" s="19">
        <v>10000</v>
      </c>
      <c r="G81" s="19">
        <v>10000</v>
      </c>
      <c r="H81" s="19">
        <v>10000</v>
      </c>
      <c r="I81" s="19">
        <v>10000</v>
      </c>
      <c r="J81" s="19">
        <v>10000</v>
      </c>
      <c r="K81" s="19">
        <v>10000</v>
      </c>
      <c r="L81" s="19">
        <v>15000</v>
      </c>
      <c r="M81" s="19">
        <v>20000</v>
      </c>
      <c r="N81" s="19">
        <v>25000</v>
      </c>
      <c r="O81" s="19">
        <v>30000</v>
      </c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3">
      <c r="A82" s="15" t="s">
        <v>133</v>
      </c>
      <c r="B82" s="20"/>
      <c r="C82" s="21">
        <f>SUM(C77:C81)</f>
        <v>20</v>
      </c>
      <c r="D82" s="21"/>
      <c r="E82" s="21">
        <f>SUM(E77:E81)</f>
        <v>20</v>
      </c>
      <c r="F82" s="21">
        <f>SUM(F77:F81)</f>
        <v>10020</v>
      </c>
      <c r="G82" s="21">
        <f>SUM(G77:G81)</f>
        <v>10020</v>
      </c>
      <c r="H82" s="21">
        <f>SUM(H77:H81)</f>
        <v>10020</v>
      </c>
      <c r="I82" s="21">
        <f>SUM(I77:I81)</f>
        <v>10020</v>
      </c>
      <c r="J82" s="21">
        <f>SUM(J77:J81)</f>
        <v>20020</v>
      </c>
      <c r="K82" s="21">
        <f>SUM(K77:K81)</f>
        <v>20020</v>
      </c>
      <c r="L82" s="21">
        <f>SUM(L77:L81)</f>
        <v>30020</v>
      </c>
      <c r="M82" s="21">
        <f>SUM(M77:M81)</f>
        <v>40020</v>
      </c>
      <c r="N82" s="21">
        <f>SUM(N77:N81)</f>
        <v>50020</v>
      </c>
      <c r="O82" s="21">
        <f>SUM(O77:O81)</f>
        <v>60020</v>
      </c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3">
      <c r="A83" s="1"/>
      <c r="B83" s="2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s="24" customFormat="1" x14ac:dyDescent="0.3">
      <c r="A84" s="40" t="s">
        <v>138</v>
      </c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1:26" s="24" customFormat="1" x14ac:dyDescent="0.3">
      <c r="A85" s="41" t="s">
        <v>137</v>
      </c>
      <c r="C85" s="42"/>
      <c r="D85" s="42"/>
      <c r="E85" s="42"/>
      <c r="F85" s="42"/>
      <c r="G85" s="42">
        <v>20000</v>
      </c>
      <c r="H85" s="42">
        <v>10000</v>
      </c>
      <c r="I85" s="42">
        <v>5000</v>
      </c>
      <c r="J85" s="42"/>
      <c r="K85" s="42"/>
      <c r="L85" s="42">
        <v>20000</v>
      </c>
      <c r="M85" s="42">
        <v>5000</v>
      </c>
      <c r="N85" s="42"/>
      <c r="O85" s="42">
        <v>20000</v>
      </c>
    </row>
    <row r="86" spans="1:26" s="24" customFormat="1" x14ac:dyDescent="0.3">
      <c r="A86" s="24" t="s">
        <v>106</v>
      </c>
      <c r="C86" s="42"/>
      <c r="D86" s="42"/>
      <c r="E86" s="42">
        <v>1000</v>
      </c>
      <c r="F86" s="42">
        <v>1000</v>
      </c>
      <c r="G86" s="42">
        <v>1000</v>
      </c>
      <c r="H86" s="42">
        <v>1000</v>
      </c>
      <c r="I86" s="42">
        <v>1000</v>
      </c>
      <c r="J86" s="42">
        <v>1000</v>
      </c>
      <c r="K86" s="42">
        <v>1000</v>
      </c>
      <c r="L86" s="42">
        <v>1000</v>
      </c>
      <c r="M86" s="42">
        <v>1000</v>
      </c>
      <c r="N86" s="42">
        <v>1000</v>
      </c>
      <c r="O86" s="42">
        <v>1000</v>
      </c>
    </row>
    <row r="87" spans="1:26" s="24" customFormat="1" x14ac:dyDescent="0.3">
      <c r="A87" s="79" t="s">
        <v>164</v>
      </c>
      <c r="C87" s="42"/>
      <c r="D87" s="42"/>
      <c r="E87" s="42">
        <v>5000</v>
      </c>
      <c r="F87" s="42">
        <v>5000</v>
      </c>
      <c r="G87" s="42">
        <v>5000</v>
      </c>
      <c r="H87" s="42">
        <v>5000</v>
      </c>
      <c r="I87" s="42">
        <v>5000</v>
      </c>
      <c r="J87" s="42">
        <v>5000</v>
      </c>
      <c r="K87" s="42">
        <v>5000</v>
      </c>
      <c r="L87" s="42">
        <v>5000</v>
      </c>
      <c r="M87" s="42">
        <v>5000</v>
      </c>
      <c r="N87" s="42">
        <v>5000</v>
      </c>
      <c r="O87" s="42">
        <v>5000</v>
      </c>
    </row>
    <row r="88" spans="1:26" s="24" customFormat="1" x14ac:dyDescent="0.3">
      <c r="A88" s="24" t="s">
        <v>107</v>
      </c>
      <c r="C88" s="42"/>
      <c r="D88" s="42"/>
      <c r="E88" s="42">
        <v>5000</v>
      </c>
      <c r="F88" s="42">
        <v>5000</v>
      </c>
      <c r="G88" s="42">
        <v>5000</v>
      </c>
      <c r="H88" s="42">
        <v>5000</v>
      </c>
      <c r="I88" s="42">
        <v>10000</v>
      </c>
      <c r="J88" s="42">
        <v>10000</v>
      </c>
      <c r="K88" s="42">
        <v>10000</v>
      </c>
      <c r="L88" s="42">
        <v>10000</v>
      </c>
      <c r="M88" s="42">
        <v>10000</v>
      </c>
      <c r="N88" s="42">
        <v>10000</v>
      </c>
      <c r="O88" s="42">
        <v>10000</v>
      </c>
    </row>
    <row r="89" spans="1:26" s="24" customFormat="1" x14ac:dyDescent="0.3">
      <c r="A89" s="24" t="s">
        <v>108</v>
      </c>
      <c r="C89" s="42"/>
      <c r="D89" s="42"/>
      <c r="E89" s="42">
        <v>2500</v>
      </c>
      <c r="F89" s="42">
        <v>2500</v>
      </c>
      <c r="G89" s="42">
        <v>2500</v>
      </c>
      <c r="H89" s="42">
        <v>2500</v>
      </c>
      <c r="I89" s="42">
        <v>5000</v>
      </c>
      <c r="J89" s="42">
        <v>5000</v>
      </c>
      <c r="K89" s="42">
        <v>5000</v>
      </c>
      <c r="L89" s="42">
        <v>5000</v>
      </c>
      <c r="M89" s="42">
        <v>5000</v>
      </c>
      <c r="N89" s="42">
        <v>5000</v>
      </c>
      <c r="O89" s="42">
        <v>5000</v>
      </c>
    </row>
    <row r="90" spans="1:26" s="24" customFormat="1" x14ac:dyDescent="0.3">
      <c r="A90" s="24" t="s">
        <v>109</v>
      </c>
      <c r="C90" s="42"/>
      <c r="D90" s="42"/>
      <c r="E90" s="42">
        <v>1000</v>
      </c>
      <c r="F90" s="42">
        <v>1000</v>
      </c>
      <c r="G90" s="42">
        <v>1000</v>
      </c>
      <c r="H90" s="42">
        <v>1000</v>
      </c>
      <c r="I90" s="42">
        <v>1000</v>
      </c>
      <c r="J90" s="42">
        <v>1000</v>
      </c>
      <c r="K90" s="42">
        <v>1000</v>
      </c>
      <c r="L90" s="42">
        <v>1000</v>
      </c>
      <c r="M90" s="42">
        <v>1000</v>
      </c>
      <c r="N90" s="42">
        <v>1000</v>
      </c>
      <c r="O90" s="42">
        <v>1000</v>
      </c>
    </row>
    <row r="91" spans="1:26" s="24" customFormat="1" x14ac:dyDescent="0.3">
      <c r="A91" s="24" t="s">
        <v>110</v>
      </c>
      <c r="C91" s="42">
        <v>3333</v>
      </c>
      <c r="D91" s="42"/>
      <c r="E91" s="42">
        <v>3333</v>
      </c>
      <c r="F91" s="42">
        <v>3333</v>
      </c>
      <c r="G91" s="42">
        <v>3333</v>
      </c>
      <c r="H91" s="42">
        <v>3333</v>
      </c>
      <c r="I91" s="42">
        <v>3333</v>
      </c>
      <c r="J91" s="42">
        <v>3333</v>
      </c>
      <c r="K91" s="42">
        <v>3333</v>
      </c>
      <c r="L91" s="42">
        <v>3333</v>
      </c>
      <c r="M91" s="42">
        <v>3333</v>
      </c>
      <c r="N91" s="42">
        <v>3333</v>
      </c>
      <c r="O91" s="42">
        <v>3333</v>
      </c>
    </row>
    <row r="92" spans="1:26" s="24" customFormat="1" x14ac:dyDescent="0.3">
      <c r="A92" s="24" t="s">
        <v>111</v>
      </c>
      <c r="C92" s="42">
        <v>1330</v>
      </c>
      <c r="D92" s="42"/>
      <c r="E92" s="42">
        <f>(D92/D5)*E5</f>
        <v>0</v>
      </c>
      <c r="F92" s="42">
        <f>(E92/E5)*F5</f>
        <v>0</v>
      </c>
      <c r="G92" s="42">
        <f>(F92/F5)*G5</f>
        <v>0</v>
      </c>
      <c r="H92" s="42">
        <f>(G92/G5)*H5</f>
        <v>0</v>
      </c>
      <c r="I92" s="42">
        <f>(H92/H5)*I5</f>
        <v>0</v>
      </c>
      <c r="J92" s="42">
        <f>(I92/I5)*J5</f>
        <v>0</v>
      </c>
      <c r="K92" s="42">
        <f>(J92/J5)*K5</f>
        <v>0</v>
      </c>
      <c r="L92" s="42">
        <f>(K92/K5)*L5</f>
        <v>0</v>
      </c>
      <c r="M92" s="42">
        <f>(L92/L5)*M5</f>
        <v>0</v>
      </c>
      <c r="N92" s="42">
        <f>(M92/M5)*N5</f>
        <v>0</v>
      </c>
      <c r="O92" s="42">
        <f>(N92/N5)*O5</f>
        <v>0</v>
      </c>
    </row>
    <row r="93" spans="1:26" s="29" customFormat="1" x14ac:dyDescent="0.3">
      <c r="A93" s="32" t="s">
        <v>148</v>
      </c>
      <c r="B93" s="31"/>
      <c r="C93" s="35"/>
      <c r="D93" s="35"/>
      <c r="E93" s="35"/>
      <c r="F93" s="35"/>
      <c r="G93" s="35"/>
      <c r="H93" s="35"/>
      <c r="I93" s="35"/>
      <c r="J93" s="35"/>
      <c r="K93" s="35">
        <v>10000</v>
      </c>
      <c r="L93" s="35">
        <v>15000</v>
      </c>
      <c r="M93" s="35">
        <v>20000</v>
      </c>
      <c r="N93" s="35">
        <v>25000</v>
      </c>
      <c r="O93" s="35">
        <v>30000</v>
      </c>
      <c r="P93" s="75"/>
    </row>
    <row r="94" spans="1:26" s="29" customFormat="1" x14ac:dyDescent="0.3">
      <c r="A94" s="32" t="s">
        <v>161</v>
      </c>
      <c r="B94" s="31"/>
      <c r="C94" s="35"/>
      <c r="D94" s="35"/>
      <c r="E94" s="35"/>
      <c r="F94" s="35">
        <v>10000</v>
      </c>
      <c r="G94" s="35">
        <v>10000</v>
      </c>
      <c r="H94" s="35">
        <v>10000</v>
      </c>
      <c r="I94" s="35">
        <v>10000</v>
      </c>
      <c r="J94" s="35">
        <v>10000</v>
      </c>
      <c r="K94" s="35">
        <v>10000</v>
      </c>
      <c r="L94" s="35">
        <v>10000</v>
      </c>
      <c r="M94" s="35">
        <v>10000</v>
      </c>
      <c r="N94" s="35">
        <v>10000</v>
      </c>
      <c r="O94" s="35">
        <v>10000</v>
      </c>
      <c r="P94" s="75"/>
    </row>
    <row r="95" spans="1:26" s="24" customFormat="1" ht="15.75" customHeight="1" x14ac:dyDescent="0.3">
      <c r="A95" s="43" t="s">
        <v>112</v>
      </c>
      <c r="B95" s="43"/>
      <c r="C95" s="44">
        <f t="shared" ref="C95:O95" si="15">SUM(C85:C94)</f>
        <v>4663</v>
      </c>
      <c r="D95" s="44"/>
      <c r="E95" s="44">
        <f t="shared" si="15"/>
        <v>17833</v>
      </c>
      <c r="F95" s="44">
        <f t="shared" si="15"/>
        <v>27833</v>
      </c>
      <c r="G95" s="44">
        <f t="shared" si="15"/>
        <v>47833</v>
      </c>
      <c r="H95" s="44">
        <f t="shared" si="15"/>
        <v>37833</v>
      </c>
      <c r="I95" s="44">
        <f t="shared" si="15"/>
        <v>40333</v>
      </c>
      <c r="J95" s="44">
        <f t="shared" si="15"/>
        <v>35333</v>
      </c>
      <c r="K95" s="44">
        <f t="shared" si="15"/>
        <v>45333</v>
      </c>
      <c r="L95" s="44">
        <f t="shared" si="15"/>
        <v>70333</v>
      </c>
      <c r="M95" s="44">
        <f t="shared" si="15"/>
        <v>60333</v>
      </c>
      <c r="N95" s="44">
        <f t="shared" si="15"/>
        <v>60333</v>
      </c>
      <c r="O95" s="44">
        <f t="shared" si="15"/>
        <v>85333</v>
      </c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s="24" customFormat="1" ht="15.75" customHeight="1" x14ac:dyDescent="0.3">
      <c r="A96" s="40"/>
      <c r="B96" s="4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x14ac:dyDescent="0.3">
      <c r="A97" s="7" t="s">
        <v>135</v>
      </c>
      <c r="B97" s="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1:26" x14ac:dyDescent="0.3">
      <c r="A98" t="s">
        <v>95</v>
      </c>
      <c r="C98" s="48">
        <v>500</v>
      </c>
      <c r="D98" s="48"/>
      <c r="E98" s="48">
        <v>500</v>
      </c>
      <c r="F98" s="48">
        <v>500</v>
      </c>
      <c r="G98" s="48">
        <v>500</v>
      </c>
      <c r="H98" s="48">
        <v>500</v>
      </c>
      <c r="I98" s="48">
        <v>1000</v>
      </c>
      <c r="J98" s="48">
        <v>1000</v>
      </c>
      <c r="K98" s="48">
        <v>1000</v>
      </c>
      <c r="L98" s="48">
        <v>1000</v>
      </c>
      <c r="M98" s="48">
        <v>1000</v>
      </c>
      <c r="N98" s="48">
        <v>1000</v>
      </c>
      <c r="O98" s="48">
        <v>1000</v>
      </c>
    </row>
    <row r="99" spans="1:26" x14ac:dyDescent="0.3">
      <c r="A99" t="s">
        <v>94</v>
      </c>
      <c r="C99" s="48">
        <v>13000</v>
      </c>
      <c r="D99" s="48"/>
      <c r="E99" s="48">
        <v>18000</v>
      </c>
      <c r="F99" s="48">
        <v>20000</v>
      </c>
      <c r="G99" s="48">
        <v>20000</v>
      </c>
      <c r="H99" s="48">
        <v>25000</v>
      </c>
      <c r="I99" s="48">
        <v>25000</v>
      </c>
      <c r="J99" s="48">
        <v>25000</v>
      </c>
      <c r="K99" s="48">
        <v>25000</v>
      </c>
      <c r="L99" s="48">
        <v>25000</v>
      </c>
      <c r="M99" s="48">
        <v>25000</v>
      </c>
      <c r="N99" s="48">
        <v>25000</v>
      </c>
      <c r="O99" s="48">
        <v>25000</v>
      </c>
    </row>
    <row r="100" spans="1:26" x14ac:dyDescent="0.3">
      <c r="A100" t="s">
        <v>134</v>
      </c>
      <c r="C100" s="48">
        <v>10000</v>
      </c>
      <c r="D100" s="48"/>
      <c r="E100" s="48">
        <v>5000</v>
      </c>
      <c r="F100" s="48">
        <v>5000</v>
      </c>
      <c r="G100" s="48">
        <v>5000</v>
      </c>
      <c r="H100" s="48">
        <v>10000</v>
      </c>
      <c r="I100" s="48">
        <v>10000</v>
      </c>
      <c r="J100" s="48">
        <v>10000</v>
      </c>
      <c r="K100" s="48">
        <v>10000</v>
      </c>
      <c r="L100" s="48">
        <v>10000</v>
      </c>
      <c r="M100" s="48">
        <v>10000</v>
      </c>
      <c r="N100" s="48">
        <v>10000</v>
      </c>
      <c r="O100" s="48">
        <v>10000</v>
      </c>
    </row>
    <row r="101" spans="1:26" x14ac:dyDescent="0.3">
      <c r="A101" t="s">
        <v>179</v>
      </c>
      <c r="C101" s="48"/>
      <c r="D101" s="48"/>
      <c r="E101" s="48"/>
      <c r="F101" s="48"/>
      <c r="G101" s="48">
        <v>10000</v>
      </c>
      <c r="H101" s="48"/>
      <c r="I101" s="48"/>
      <c r="J101" s="48"/>
      <c r="K101" s="48"/>
      <c r="L101" s="48">
        <v>10000</v>
      </c>
      <c r="M101" s="48"/>
      <c r="N101" s="48"/>
      <c r="O101" s="48">
        <v>20000</v>
      </c>
    </row>
    <row r="102" spans="1:26" s="24" customFormat="1" x14ac:dyDescent="0.3">
      <c r="A102" s="79" t="s">
        <v>149</v>
      </c>
      <c r="C102" s="42"/>
      <c r="D102" s="42"/>
      <c r="E102" s="42">
        <v>5000</v>
      </c>
      <c r="F102" s="42">
        <v>5000</v>
      </c>
      <c r="G102" s="42">
        <v>5000</v>
      </c>
      <c r="H102" s="42">
        <v>5000</v>
      </c>
      <c r="I102" s="42">
        <v>5000</v>
      </c>
      <c r="J102" s="42">
        <v>5000</v>
      </c>
      <c r="K102" s="42">
        <v>5000</v>
      </c>
      <c r="L102" s="42">
        <v>5000</v>
      </c>
      <c r="M102" s="42">
        <v>5000</v>
      </c>
      <c r="N102" s="42">
        <v>5000</v>
      </c>
      <c r="O102" s="42">
        <v>5000</v>
      </c>
    </row>
    <row r="103" spans="1:26" x14ac:dyDescent="0.3">
      <c r="A103" t="s">
        <v>93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1:26" s="7" customFormat="1" x14ac:dyDescent="0.3">
      <c r="A104" s="49" t="s">
        <v>136</v>
      </c>
      <c r="B104" s="49"/>
      <c r="C104" s="50">
        <f t="shared" ref="C104:O104" si="16">SUM(C98:C103)</f>
        <v>23500</v>
      </c>
      <c r="D104" s="50"/>
      <c r="E104" s="50">
        <f t="shared" si="16"/>
        <v>28500</v>
      </c>
      <c r="F104" s="50">
        <f t="shared" si="16"/>
        <v>30500</v>
      </c>
      <c r="G104" s="50">
        <f t="shared" si="16"/>
        <v>40500</v>
      </c>
      <c r="H104" s="50">
        <f t="shared" si="16"/>
        <v>40500</v>
      </c>
      <c r="I104" s="50">
        <f t="shared" si="16"/>
        <v>41000</v>
      </c>
      <c r="J104" s="50">
        <f t="shared" si="16"/>
        <v>41000</v>
      </c>
      <c r="K104" s="50">
        <f t="shared" si="16"/>
        <v>41000</v>
      </c>
      <c r="L104" s="50">
        <f t="shared" si="16"/>
        <v>51000</v>
      </c>
      <c r="M104" s="50">
        <f t="shared" si="16"/>
        <v>41000</v>
      </c>
      <c r="N104" s="50">
        <f t="shared" si="16"/>
        <v>41000</v>
      </c>
      <c r="O104" s="50">
        <f t="shared" si="16"/>
        <v>61000</v>
      </c>
    </row>
    <row r="105" spans="1:26" x14ac:dyDescent="0.3">
      <c r="A105" s="1"/>
      <c r="B105" s="23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3">
      <c r="A106" s="1"/>
      <c r="B106" s="23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s="7" customFormat="1" x14ac:dyDescent="0.3">
      <c r="A107" s="49" t="s">
        <v>150</v>
      </c>
      <c r="B107" s="49"/>
      <c r="C107" s="50">
        <f>C104+C95+C82+C74+C63+C52</f>
        <v>94315.14</v>
      </c>
      <c r="D107" s="50"/>
      <c r="E107" s="50">
        <f>E104+E95+E82+E74+E63+E52</f>
        <v>150693.50086666667</v>
      </c>
      <c r="F107" s="50">
        <f>F104+F95+F82+F74+F63+F52</f>
        <v>203693.50086666667</v>
      </c>
      <c r="G107" s="50">
        <f>G104+G95+G82+G74+G63+G52</f>
        <v>233693.50086666667</v>
      </c>
      <c r="H107" s="50">
        <f>H104+H95+H82+H74+H63+H52</f>
        <v>274093.50086666667</v>
      </c>
      <c r="I107" s="50">
        <f>I104+I95+I82+I74+I63+I52</f>
        <v>278184.50086666667</v>
      </c>
      <c r="J107" s="50">
        <f>J104+J95+J82+J74+J63+J52</f>
        <v>248184.50086666667</v>
      </c>
      <c r="K107" s="50">
        <f>K104+K95+K82+K74+K63+K52</f>
        <v>328184.50086666667</v>
      </c>
      <c r="L107" s="50">
        <f>L104+L95+L82+L74+L63+L52</f>
        <v>387184.50086666667</v>
      </c>
      <c r="M107" s="50">
        <f>M104+M95+M82+M74+M63+M52</f>
        <v>407184.50086666667</v>
      </c>
      <c r="N107" s="50">
        <f>N104+N95+N82+N74+N63+N52</f>
        <v>447184.50086666667</v>
      </c>
      <c r="O107" s="50">
        <f>O104+O95+O82+O74+O63+O52</f>
        <v>512184.50086666667</v>
      </c>
      <c r="P107" s="87">
        <f>SUM(D107:O107)</f>
        <v>3470465.5095333327</v>
      </c>
    </row>
    <row r="108" spans="1:26" x14ac:dyDescent="0.3">
      <c r="A108" s="1"/>
      <c r="B108" s="23"/>
      <c r="C108" s="46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88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3">
      <c r="A109" s="1"/>
      <c r="B109" s="23"/>
      <c r="C109" s="46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s="7" customFormat="1" x14ac:dyDescent="0.3">
      <c r="A110" s="49" t="s">
        <v>151</v>
      </c>
      <c r="B110" s="49"/>
      <c r="C110" s="50"/>
      <c r="D110" s="50"/>
      <c r="E110" s="50">
        <f>Headcount!E117</f>
        <v>233590.00000000003</v>
      </c>
      <c r="F110" s="50">
        <f>Headcount!F117</f>
        <v>277866.66666666669</v>
      </c>
      <c r="G110" s="50">
        <f>Headcount!G117</f>
        <v>275950</v>
      </c>
      <c r="H110" s="50">
        <f>Headcount!H117</f>
        <v>290950</v>
      </c>
      <c r="I110" s="50">
        <f>Headcount!I117</f>
        <v>305116.66666666663</v>
      </c>
      <c r="J110" s="50">
        <f>Headcount!J117</f>
        <v>305116.66666666663</v>
      </c>
      <c r="K110" s="50">
        <f>Headcount!K117</f>
        <v>321116.66666666663</v>
      </c>
      <c r="L110" s="50">
        <f>Headcount!L117</f>
        <v>331450</v>
      </c>
      <c r="M110" s="50">
        <f>Headcount!M117</f>
        <v>347450</v>
      </c>
      <c r="N110" s="50">
        <f>Headcount!N117</f>
        <v>358283.33333333337</v>
      </c>
      <c r="O110" s="50">
        <f>Headcount!O117</f>
        <v>358283.33333333337</v>
      </c>
      <c r="P110" s="87">
        <f>SUM(D110:O110)</f>
        <v>3405173.3333333335</v>
      </c>
    </row>
    <row r="111" spans="1:26" x14ac:dyDescent="0.3">
      <c r="A111" s="1"/>
      <c r="B111" s="23"/>
      <c r="C111" s="46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88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s="7" customFormat="1" x14ac:dyDescent="0.3">
      <c r="A112" s="1" t="s">
        <v>185</v>
      </c>
      <c r="B112" s="1"/>
      <c r="C112" s="46"/>
      <c r="D112" s="100"/>
      <c r="E112" s="100">
        <f t="shared" ref="E112:O112" si="17">E107+E110</f>
        <v>384283.50086666667</v>
      </c>
      <c r="F112" s="100">
        <f t="shared" si="17"/>
        <v>481560.16753333336</v>
      </c>
      <c r="G112" s="100">
        <f t="shared" si="17"/>
        <v>509643.50086666667</v>
      </c>
      <c r="H112" s="100">
        <f t="shared" si="17"/>
        <v>565043.50086666667</v>
      </c>
      <c r="I112" s="100">
        <f t="shared" si="17"/>
        <v>583301.1675333333</v>
      </c>
      <c r="J112" s="100">
        <f t="shared" si="17"/>
        <v>553301.1675333333</v>
      </c>
      <c r="K112" s="100">
        <f t="shared" si="17"/>
        <v>649301.1675333333</v>
      </c>
      <c r="L112" s="100">
        <f t="shared" si="17"/>
        <v>718634.50086666667</v>
      </c>
      <c r="M112" s="100">
        <f t="shared" si="17"/>
        <v>754634.50086666667</v>
      </c>
      <c r="N112" s="100">
        <f t="shared" si="17"/>
        <v>805467.83420000004</v>
      </c>
      <c r="O112" s="100">
        <f t="shared" si="17"/>
        <v>870467.83420000004</v>
      </c>
      <c r="P112" s="101">
        <f>SUM(D112:O112)</f>
        <v>6875638.8428666675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23"/>
      <c r="C113" s="46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" thickBot="1" x14ac:dyDescent="0.35">
      <c r="A114" s="106" t="s">
        <v>187</v>
      </c>
      <c r="B114" s="107"/>
      <c r="C114" s="108"/>
      <c r="D114" s="109"/>
      <c r="E114" s="109">
        <f>E5-E10-E112</f>
        <v>-388033.50086666667</v>
      </c>
      <c r="F114" s="109">
        <f>F5-F10-F112</f>
        <v>-477860.16753333336</v>
      </c>
      <c r="G114" s="109">
        <f>G5-G10-G112</f>
        <v>-491443.50086666667</v>
      </c>
      <c r="H114" s="109">
        <f>H5-H10-H112</f>
        <v>-504418.50086666667</v>
      </c>
      <c r="I114" s="109">
        <f>I5-I10-I112</f>
        <v>-471843.6675333333</v>
      </c>
      <c r="J114" s="109">
        <f>J5-J10-J112</f>
        <v>-378093.6675333333</v>
      </c>
      <c r="K114" s="109">
        <f>K5-K10-K112</f>
        <v>-359918.6675333333</v>
      </c>
      <c r="L114" s="109">
        <f>L5-L10-L112</f>
        <v>-282517.00086666667</v>
      </c>
      <c r="M114" s="109">
        <f>M5-M10-M112</f>
        <v>-87397.000866666669</v>
      </c>
      <c r="N114" s="109">
        <f>N5-N10-N112</f>
        <v>146829.66579999996</v>
      </c>
      <c r="O114" s="109">
        <f>O5-O10-O112</f>
        <v>424429.66579999996</v>
      </c>
      <c r="P114" s="101">
        <f>SUM(D114:O114)</f>
        <v>-2870266.3428666666</v>
      </c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3">
      <c r="A115" s="1"/>
      <c r="B115" s="23"/>
      <c r="C115" s="46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3">
      <c r="A116" s="1" t="s">
        <v>160</v>
      </c>
      <c r="B116" s="23"/>
      <c r="C116" s="46"/>
      <c r="D116" s="53"/>
      <c r="E116" s="53"/>
      <c r="F116" s="53">
        <f>F56+F57+F58+F59+F60+F74+Headcount!F65+Headcount!F63+Headcount!F59+Headcount!F57+Headcount!F55+Headcount!F39+Headcount!F27*0.5</f>
        <v>81454.833333333328</v>
      </c>
      <c r="G116" s="53">
        <f>G56+G57+G58+G59+G60+G74+Headcount!G65+Headcount!G63+Headcount!G59+Headcount!G57+Headcount!G55+Headcount!G39+Headcount!G27*0.5</f>
        <v>81454.833333333328</v>
      </c>
      <c r="H116" s="53">
        <f>H56+H57+H58+H59+H60+H74+Headcount!H65+Headcount!H63+Headcount!H59+Headcount!H57+Headcount!H55+Headcount!H39+Headcount!H27*0.5</f>
        <v>134454.83333333334</v>
      </c>
      <c r="I116" s="53">
        <f>I56+I57+I58+I59+I60+I74+Headcount!I65+Headcount!I63+Headcount!I59+Headcount!I57+Headcount!I55+Headcount!I39+Headcount!I27*0.5</f>
        <v>122945.83333333334</v>
      </c>
      <c r="J116" s="53">
        <f>J56+J57+J58+J59+J60+J74+Headcount!J65+Headcount!J63+Headcount!J59+Headcount!J57+Headcount!J55+Headcount!J39+Headcount!J27*0.5</f>
        <v>109945.83333333334</v>
      </c>
      <c r="K116" s="53">
        <f>K56+K57+K58+K59+K60+K74+Headcount!K65+Headcount!K63+Headcount!K59+Headcount!K57+Headcount!K55+Headcount!K39+Headcount!K27*0.5</f>
        <v>164945.83333333331</v>
      </c>
      <c r="L116" s="53">
        <f>L56+L57+L58+L59+L60+L74+Headcount!L65+Headcount!L63+Headcount!L59+Headcount!L57+Headcount!L55+Headcount!L39+Headcount!L27*0.5</f>
        <v>163945.83333333331</v>
      </c>
      <c r="M116" s="53">
        <f>M56+M57+M58+M59+M60+M74+Headcount!M65+Headcount!M63+Headcount!M59+Headcount!M57+Headcount!M55+Headcount!M39+Headcount!M27*0.5</f>
        <v>178945.83333333331</v>
      </c>
      <c r="N116" s="53">
        <f>N56+N57+N58+N59+N60+N74+Headcount!N65+Headcount!N63+Headcount!N59+Headcount!N57+Headcount!N55+Headcount!N39+Headcount!N27*0.5</f>
        <v>193945.83333333331</v>
      </c>
      <c r="O116" s="53">
        <f>O56+O57+O58+O59+O60+O74+Headcount!O65+Headcount!O63+Headcount!O59+Headcount!O57+Headcount!O55+Headcount!O39+Headcount!O27*0.5</f>
        <v>188945.83333333331</v>
      </c>
      <c r="P116" s="23" t="s">
        <v>183</v>
      </c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3">
      <c r="A117" s="1" t="s">
        <v>163</v>
      </c>
      <c r="B117" s="23"/>
      <c r="C117" s="46"/>
      <c r="D117" s="84"/>
      <c r="E117" s="84"/>
      <c r="F117" s="84">
        <f>F116/((G54-F54)*1000)</f>
        <v>162.90966666666665</v>
      </c>
      <c r="G117" s="84">
        <f>G116/((H54-G54)*1000)</f>
        <v>162.90966666666665</v>
      </c>
      <c r="H117" s="84">
        <f>H116/((I54-H54)*1000)</f>
        <v>268.90966666666668</v>
      </c>
      <c r="I117" s="84">
        <f>I116/((J54-I54)*1000)</f>
        <v>122.94583333333334</v>
      </c>
      <c r="J117" s="84">
        <f>J116/((K54-J54)*1000)</f>
        <v>54.97291666666667</v>
      </c>
      <c r="K117" s="84">
        <f>K116/((L54-K54)*1000)</f>
        <v>82.472916666666663</v>
      </c>
      <c r="L117" s="84">
        <f>L116/((M54-L54)*1000)</f>
        <v>54.648611111111101</v>
      </c>
      <c r="M117" s="84">
        <f>M116/((N54-M54)*1000)</f>
        <v>59.648611111111101</v>
      </c>
      <c r="N117" s="84">
        <f>N116/((O54-N54)*1000)</f>
        <v>64.648611111111109</v>
      </c>
      <c r="O117" s="84">
        <f>O116/((P54-O54)*1000)</f>
        <v>62.981944444444437</v>
      </c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3">
      <c r="A118" s="1"/>
      <c r="B118" s="23"/>
      <c r="C118" s="46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3">
      <c r="A119" s="1"/>
      <c r="B119" s="23"/>
      <c r="C119" s="46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3">
      <c r="A120" s="1"/>
      <c r="B120" s="23"/>
      <c r="C120" s="46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3">
      <c r="A121" s="1"/>
      <c r="B121" s="23"/>
      <c r="C121" s="46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s="33" customFormat="1" x14ac:dyDescent="0.3">
      <c r="A122" s="36" t="s">
        <v>176</v>
      </c>
      <c r="B122" s="36"/>
      <c r="C122" s="76">
        <v>45992</v>
      </c>
      <c r="D122" s="77" t="s">
        <v>1</v>
      </c>
      <c r="E122" s="77" t="s">
        <v>2</v>
      </c>
      <c r="F122" s="77" t="s">
        <v>3</v>
      </c>
      <c r="G122" s="77" t="s">
        <v>4</v>
      </c>
      <c r="H122" s="77" t="s">
        <v>5</v>
      </c>
      <c r="I122" s="77" t="s">
        <v>6</v>
      </c>
      <c r="J122" s="77" t="s">
        <v>7</v>
      </c>
      <c r="K122" s="77" t="s">
        <v>8</v>
      </c>
      <c r="L122" s="77" t="s">
        <v>9</v>
      </c>
      <c r="M122" s="77" t="s">
        <v>10</v>
      </c>
      <c r="N122" s="77" t="s">
        <v>11</v>
      </c>
      <c r="O122" s="77" t="s">
        <v>12</v>
      </c>
      <c r="P122" s="78">
        <v>2026</v>
      </c>
    </row>
    <row r="123" spans="1:26" s="29" customFormat="1" x14ac:dyDescent="0.3">
      <c r="A123" s="32" t="s">
        <v>146</v>
      </c>
      <c r="B123" s="31"/>
      <c r="C123" s="35">
        <v>27000</v>
      </c>
      <c r="D123" s="35">
        <v>225000</v>
      </c>
      <c r="E123" s="35">
        <v>225000</v>
      </c>
      <c r="F123" s="35">
        <v>225000</v>
      </c>
      <c r="G123" s="35">
        <v>225000</v>
      </c>
      <c r="H123" s="35">
        <v>75000</v>
      </c>
      <c r="I123" s="35">
        <v>75000</v>
      </c>
      <c r="J123" s="35">
        <v>75000</v>
      </c>
      <c r="K123" s="35">
        <v>37500</v>
      </c>
      <c r="L123" s="35">
        <v>37500</v>
      </c>
      <c r="M123" s="35">
        <v>37500</v>
      </c>
      <c r="N123" s="35">
        <v>37500</v>
      </c>
      <c r="O123" s="35">
        <v>37500</v>
      </c>
      <c r="P123" s="75">
        <f t="shared" ref="P123:P130" si="18">SUM(D123:O123)</f>
        <v>1312500</v>
      </c>
    </row>
    <row r="124" spans="1:26" s="29" customFormat="1" x14ac:dyDescent="0.3">
      <c r="A124" s="32" t="s">
        <v>190</v>
      </c>
      <c r="B124" s="31"/>
      <c r="C124" s="35">
        <v>15000</v>
      </c>
      <c r="D124" s="35">
        <v>75000</v>
      </c>
      <c r="E124" s="35">
        <v>75000</v>
      </c>
      <c r="F124" s="35">
        <v>50000</v>
      </c>
      <c r="G124" s="35">
        <v>50000</v>
      </c>
      <c r="H124" s="35">
        <v>25000</v>
      </c>
      <c r="I124" s="35">
        <v>25000</v>
      </c>
      <c r="J124" s="35">
        <v>25000</v>
      </c>
      <c r="K124" s="35">
        <v>25000</v>
      </c>
      <c r="L124" s="35">
        <v>25000</v>
      </c>
      <c r="M124" s="35">
        <v>25000</v>
      </c>
      <c r="N124" s="35">
        <v>25000</v>
      </c>
      <c r="O124" s="35">
        <v>25000</v>
      </c>
      <c r="P124" s="75">
        <f t="shared" si="18"/>
        <v>450000</v>
      </c>
    </row>
    <row r="125" spans="1:26" s="29" customFormat="1" x14ac:dyDescent="0.3">
      <c r="A125" s="32" t="s">
        <v>54</v>
      </c>
      <c r="B125" s="31"/>
      <c r="C125" s="35"/>
      <c r="D125" s="35">
        <v>34375</v>
      </c>
      <c r="E125" s="35">
        <v>34375</v>
      </c>
      <c r="F125" s="35">
        <v>34375</v>
      </c>
      <c r="G125" s="35">
        <v>34375</v>
      </c>
      <c r="H125" s="35">
        <v>34375</v>
      </c>
      <c r="I125" s="35">
        <v>34375</v>
      </c>
      <c r="J125" s="35"/>
      <c r="K125" s="35"/>
      <c r="L125" s="35"/>
      <c r="M125" s="35"/>
      <c r="N125" s="35"/>
      <c r="O125" s="35"/>
      <c r="P125" s="75">
        <f t="shared" si="18"/>
        <v>206250</v>
      </c>
    </row>
    <row r="126" spans="1:26" s="29" customFormat="1" x14ac:dyDescent="0.3">
      <c r="A126" s="32" t="s">
        <v>147</v>
      </c>
      <c r="B126" s="31"/>
      <c r="C126" s="35"/>
      <c r="D126" s="35"/>
      <c r="E126" s="35"/>
      <c r="F126" s="35">
        <v>30000</v>
      </c>
      <c r="G126" s="35">
        <v>60000</v>
      </c>
      <c r="H126" s="35">
        <v>60000</v>
      </c>
      <c r="I126" s="35">
        <v>60000</v>
      </c>
      <c r="J126" s="35">
        <v>60000</v>
      </c>
      <c r="K126" s="35">
        <v>60000</v>
      </c>
      <c r="L126" s="35">
        <v>30000</v>
      </c>
      <c r="M126" s="35"/>
      <c r="N126" s="35"/>
      <c r="O126" s="35"/>
      <c r="P126" s="75">
        <f t="shared" ref="P126" si="19">SUM(D126:O126)</f>
        <v>360000</v>
      </c>
    </row>
    <row r="127" spans="1:26" s="33" customFormat="1" x14ac:dyDescent="0.3">
      <c r="A127" s="34" t="s">
        <v>53</v>
      </c>
      <c r="B127" s="34"/>
      <c r="C127" s="30">
        <v>6000</v>
      </c>
      <c r="D127" s="30">
        <v>28000</v>
      </c>
      <c r="E127" s="30">
        <v>28000</v>
      </c>
      <c r="F127" s="30">
        <v>28000</v>
      </c>
      <c r="G127" s="30">
        <v>28000</v>
      </c>
      <c r="H127" s="30">
        <v>28000</v>
      </c>
      <c r="I127" s="30">
        <v>28000</v>
      </c>
      <c r="J127" s="30">
        <v>28000</v>
      </c>
      <c r="K127" s="30">
        <v>28000</v>
      </c>
      <c r="L127" s="30">
        <v>28000</v>
      </c>
      <c r="M127" s="30">
        <v>28000</v>
      </c>
      <c r="N127" s="30">
        <v>28000</v>
      </c>
      <c r="O127" s="30">
        <v>28000</v>
      </c>
      <c r="P127" s="75">
        <f t="shared" si="18"/>
        <v>336000</v>
      </c>
    </row>
    <row r="128" spans="1:26" s="33" customFormat="1" x14ac:dyDescent="0.3">
      <c r="A128" s="34" t="s">
        <v>52</v>
      </c>
      <c r="B128" s="34"/>
      <c r="C128" s="30">
        <v>10000</v>
      </c>
      <c r="D128" s="30">
        <v>38400</v>
      </c>
      <c r="E128" s="30">
        <v>38400</v>
      </c>
      <c r="F128" s="30">
        <v>38400</v>
      </c>
      <c r="G128" s="30">
        <v>38400</v>
      </c>
      <c r="H128" s="30">
        <v>38400</v>
      </c>
      <c r="I128" s="30">
        <v>38400</v>
      </c>
      <c r="J128" s="30">
        <v>38400</v>
      </c>
      <c r="K128" s="30">
        <v>38400</v>
      </c>
      <c r="L128" s="30">
        <v>38400</v>
      </c>
      <c r="M128" s="30">
        <v>38400</v>
      </c>
      <c r="N128" s="30">
        <v>38400</v>
      </c>
      <c r="O128" s="30">
        <v>38400</v>
      </c>
      <c r="P128" s="75">
        <f t="shared" si="18"/>
        <v>460800</v>
      </c>
    </row>
    <row r="129" spans="1:16" s="33" customFormat="1" x14ac:dyDescent="0.3">
      <c r="A129" s="85" t="s">
        <v>177</v>
      </c>
      <c r="B129" s="34"/>
      <c r="C129" s="30"/>
      <c r="D129" s="30"/>
      <c r="E129" s="30">
        <v>25000</v>
      </c>
      <c r="F129" s="30">
        <v>25000</v>
      </c>
      <c r="G129" s="30">
        <v>25000</v>
      </c>
      <c r="H129" s="30"/>
      <c r="I129" s="30"/>
      <c r="J129" s="30"/>
      <c r="K129" s="30"/>
      <c r="L129" s="30"/>
      <c r="M129" s="30"/>
      <c r="N129" s="30"/>
      <c r="O129" s="30"/>
      <c r="P129" s="75">
        <f t="shared" si="18"/>
        <v>75000</v>
      </c>
    </row>
    <row r="130" spans="1:16" s="29" customFormat="1" x14ac:dyDescent="0.3">
      <c r="A130" s="32" t="s">
        <v>51</v>
      </c>
      <c r="B130" s="31"/>
      <c r="C130" s="30"/>
      <c r="D130" s="30">
        <v>20000</v>
      </c>
      <c r="E130" s="30">
        <v>20000</v>
      </c>
      <c r="F130" s="30">
        <v>20000</v>
      </c>
      <c r="G130" s="30">
        <v>20000</v>
      </c>
      <c r="H130" s="30">
        <v>20000</v>
      </c>
      <c r="I130" s="30">
        <v>20000</v>
      </c>
      <c r="J130" s="30">
        <v>20000</v>
      </c>
      <c r="K130" s="30">
        <v>20000</v>
      </c>
      <c r="L130" s="30">
        <v>20000</v>
      </c>
      <c r="M130" s="30">
        <v>20000</v>
      </c>
      <c r="N130" s="30">
        <v>20000</v>
      </c>
      <c r="O130" s="30">
        <v>20000</v>
      </c>
      <c r="P130" s="75">
        <f t="shared" si="18"/>
        <v>240000</v>
      </c>
    </row>
    <row r="131" spans="1:16" s="26" customFormat="1" x14ac:dyDescent="0.3">
      <c r="A131" s="28" t="s">
        <v>50</v>
      </c>
      <c r="B131" s="27"/>
      <c r="C131" s="27">
        <f t="shared" ref="C131:O131" si="20">SUM(C123:C130)</f>
        <v>58000</v>
      </c>
      <c r="D131" s="27">
        <f t="shared" si="20"/>
        <v>420775</v>
      </c>
      <c r="E131" s="27">
        <f t="shared" si="20"/>
        <v>445775</v>
      </c>
      <c r="F131" s="27">
        <f t="shared" si="20"/>
        <v>450775</v>
      </c>
      <c r="G131" s="27">
        <f t="shared" si="20"/>
        <v>480775</v>
      </c>
      <c r="H131" s="27">
        <f t="shared" si="20"/>
        <v>280775</v>
      </c>
      <c r="I131" s="27">
        <f t="shared" si="20"/>
        <v>280775</v>
      </c>
      <c r="J131" s="27">
        <f t="shared" si="20"/>
        <v>246400</v>
      </c>
      <c r="K131" s="27">
        <f t="shared" si="20"/>
        <v>208900</v>
      </c>
      <c r="L131" s="27">
        <f t="shared" si="20"/>
        <v>178900</v>
      </c>
      <c r="M131" s="27">
        <f t="shared" si="20"/>
        <v>148900</v>
      </c>
      <c r="N131" s="27">
        <f t="shared" si="20"/>
        <v>148900</v>
      </c>
      <c r="O131" s="27">
        <f t="shared" si="20"/>
        <v>148900</v>
      </c>
      <c r="P131" s="86">
        <f>SUM(D131:O131)</f>
        <v>3440550</v>
      </c>
    </row>
    <row r="132" spans="1:16" s="24" customFormat="1" x14ac:dyDescent="0.3">
      <c r="A132" s="97" t="s">
        <v>184</v>
      </c>
      <c r="D132" s="89">
        <v>596875</v>
      </c>
      <c r="E132" s="89">
        <v>671875</v>
      </c>
      <c r="F132" s="89">
        <v>559375</v>
      </c>
      <c r="G132" s="89">
        <v>409375</v>
      </c>
      <c r="H132" s="89">
        <v>221875</v>
      </c>
      <c r="I132" s="89">
        <v>221875</v>
      </c>
      <c r="J132" s="89">
        <v>187500</v>
      </c>
      <c r="K132" s="89">
        <v>150000</v>
      </c>
      <c r="L132" s="89">
        <v>150000</v>
      </c>
      <c r="M132" s="89">
        <v>150000</v>
      </c>
      <c r="N132" s="89">
        <v>150000</v>
      </c>
      <c r="O132" s="89">
        <v>150000</v>
      </c>
      <c r="P132" s="90">
        <f>SUM(D132:O132)</f>
        <v>3618750</v>
      </c>
    </row>
    <row r="134" spans="1:16" x14ac:dyDescent="0.3">
      <c r="A134" s="7" t="s">
        <v>167</v>
      </c>
    </row>
    <row r="135" spans="1:16" s="29" customFormat="1" x14ac:dyDescent="0.3">
      <c r="A135" s="32" t="s">
        <v>175</v>
      </c>
      <c r="B135" s="31"/>
      <c r="C135" s="35"/>
      <c r="D135" s="35"/>
      <c r="E135" s="35"/>
      <c r="F135" s="35"/>
      <c r="G135" s="35"/>
      <c r="H135" s="35"/>
      <c r="I135" s="35"/>
      <c r="J135" s="35">
        <v>150000</v>
      </c>
      <c r="K135" s="35">
        <v>75000</v>
      </c>
      <c r="L135" s="35">
        <v>37500</v>
      </c>
      <c r="M135" s="35">
        <v>37500</v>
      </c>
      <c r="N135" s="35">
        <v>37500</v>
      </c>
      <c r="O135" s="35">
        <v>37500</v>
      </c>
      <c r="P135" s="75">
        <f>SUM(D135:O135)</f>
        <v>375000</v>
      </c>
    </row>
    <row r="136" spans="1:16" s="29" customFormat="1" x14ac:dyDescent="0.3">
      <c r="A136" s="32" t="s">
        <v>174</v>
      </c>
      <c r="B136" s="31"/>
      <c r="C136" s="35"/>
      <c r="D136" s="35"/>
      <c r="E136" s="35"/>
      <c r="F136" s="35"/>
      <c r="G136" s="35"/>
      <c r="H136" s="35"/>
      <c r="I136" s="35"/>
      <c r="J136" s="35">
        <v>187500</v>
      </c>
      <c r="K136" s="35">
        <v>187500</v>
      </c>
      <c r="L136" s="35">
        <v>37500</v>
      </c>
      <c r="M136" s="35">
        <v>37500</v>
      </c>
      <c r="N136" s="35">
        <v>37500</v>
      </c>
      <c r="O136" s="35">
        <v>37500</v>
      </c>
      <c r="P136" s="75">
        <f>SUM(D136:O136)</f>
        <v>525000</v>
      </c>
    </row>
    <row r="137" spans="1:16" s="26" customFormat="1" x14ac:dyDescent="0.3">
      <c r="A137" s="28" t="s">
        <v>168</v>
      </c>
      <c r="B137" s="27"/>
      <c r="C137" s="27">
        <f>SUM(C135:C136)</f>
        <v>0</v>
      </c>
      <c r="D137" s="27">
        <f t="shared" ref="D137:O137" si="21">SUM(D135:D136)</f>
        <v>0</v>
      </c>
      <c r="E137" s="27">
        <f t="shared" si="21"/>
        <v>0</v>
      </c>
      <c r="F137" s="27">
        <f t="shared" si="21"/>
        <v>0</v>
      </c>
      <c r="G137" s="27">
        <f t="shared" si="21"/>
        <v>0</v>
      </c>
      <c r="H137" s="27">
        <f t="shared" si="21"/>
        <v>0</v>
      </c>
      <c r="I137" s="27">
        <f t="shared" si="21"/>
        <v>0</v>
      </c>
      <c r="J137" s="27">
        <f t="shared" si="21"/>
        <v>337500</v>
      </c>
      <c r="K137" s="27">
        <f t="shared" si="21"/>
        <v>262500</v>
      </c>
      <c r="L137" s="27">
        <f t="shared" si="21"/>
        <v>75000</v>
      </c>
      <c r="M137" s="27">
        <f t="shared" si="21"/>
        <v>75000</v>
      </c>
      <c r="N137" s="27">
        <f t="shared" si="21"/>
        <v>75000</v>
      </c>
      <c r="O137" s="27">
        <f t="shared" si="21"/>
        <v>75000</v>
      </c>
      <c r="P137" s="86">
        <f>SUM(D137:O137)</f>
        <v>900000</v>
      </c>
    </row>
  </sheetData>
  <mergeCells count="2">
    <mergeCell ref="A73:B73"/>
    <mergeCell ref="A80:B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21"/>
  <sheetViews>
    <sheetView workbookViewId="0">
      <pane ySplit="1" topLeftCell="A25" activePane="bottomLeft" state="frozen"/>
      <selection pane="bottomLeft" activeCell="D117" sqref="D117"/>
    </sheetView>
  </sheetViews>
  <sheetFormatPr defaultRowHeight="14.4" x14ac:dyDescent="0.3"/>
  <cols>
    <col min="1" max="1" width="40.33203125" customWidth="1"/>
    <col min="2" max="2" width="14" customWidth="1"/>
    <col min="3" max="3" width="8.88671875" customWidth="1"/>
    <col min="4" max="6" width="9.21875" bestFit="1" customWidth="1"/>
  </cols>
  <sheetData>
    <row r="1" spans="1:15" x14ac:dyDescent="0.3">
      <c r="A1" s="7" t="s">
        <v>113</v>
      </c>
      <c r="C1" s="2">
        <v>45992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 s="24" customFormat="1" x14ac:dyDescent="0.3">
      <c r="B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24" customFormat="1" x14ac:dyDescent="0.3">
      <c r="A3" s="26" t="s">
        <v>92</v>
      </c>
      <c r="B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24" customFormat="1" x14ac:dyDescent="0.3">
      <c r="A4" s="24" t="s">
        <v>114</v>
      </c>
      <c r="C4" s="38">
        <v>1</v>
      </c>
      <c r="D4" s="38">
        <v>1</v>
      </c>
      <c r="E4" s="38">
        <v>1</v>
      </c>
      <c r="F4" s="38">
        <v>1</v>
      </c>
      <c r="G4" s="38">
        <v>1</v>
      </c>
      <c r="H4" s="38">
        <v>1</v>
      </c>
      <c r="I4" s="38">
        <v>1</v>
      </c>
      <c r="J4" s="38">
        <v>1</v>
      </c>
      <c r="K4" s="38">
        <v>1</v>
      </c>
      <c r="L4" s="38">
        <v>1</v>
      </c>
      <c r="M4" s="38">
        <v>1</v>
      </c>
      <c r="N4" s="38">
        <v>1</v>
      </c>
      <c r="O4" s="38">
        <v>1</v>
      </c>
    </row>
    <row r="5" spans="1:15" s="24" customFormat="1" x14ac:dyDescent="0.3">
      <c r="B5" s="80">
        <f>24800*12</f>
        <v>297600</v>
      </c>
      <c r="C5" s="80">
        <f>C4*$B5/12</f>
        <v>24800</v>
      </c>
      <c r="D5" s="80">
        <f t="shared" ref="D5:O5" si="0">D4*$B5/12</f>
        <v>24800</v>
      </c>
      <c r="E5" s="80">
        <f t="shared" si="0"/>
        <v>24800</v>
      </c>
      <c r="F5" s="80">
        <f t="shared" si="0"/>
        <v>24800</v>
      </c>
      <c r="G5" s="80">
        <f t="shared" si="0"/>
        <v>24800</v>
      </c>
      <c r="H5" s="80">
        <f t="shared" si="0"/>
        <v>24800</v>
      </c>
      <c r="I5" s="80">
        <f t="shared" si="0"/>
        <v>24800</v>
      </c>
      <c r="J5" s="80">
        <f t="shared" si="0"/>
        <v>24800</v>
      </c>
      <c r="K5" s="80">
        <f t="shared" si="0"/>
        <v>24800</v>
      </c>
      <c r="L5" s="80">
        <f t="shared" si="0"/>
        <v>24800</v>
      </c>
      <c r="M5" s="80">
        <f t="shared" si="0"/>
        <v>24800</v>
      </c>
      <c r="N5" s="80">
        <f t="shared" si="0"/>
        <v>24800</v>
      </c>
      <c r="O5" s="80">
        <f t="shared" si="0"/>
        <v>24800</v>
      </c>
    </row>
    <row r="6" spans="1:15" s="24" customFormat="1" x14ac:dyDescent="0.3">
      <c r="A6" s="24" t="s">
        <v>91</v>
      </c>
      <c r="C6" s="38">
        <v>1</v>
      </c>
      <c r="D6" s="38">
        <v>1</v>
      </c>
      <c r="E6" s="38">
        <v>1</v>
      </c>
      <c r="F6" s="38">
        <v>1</v>
      </c>
      <c r="G6" s="38">
        <v>1</v>
      </c>
      <c r="H6" s="38">
        <v>1</v>
      </c>
      <c r="I6" s="38">
        <v>1</v>
      </c>
      <c r="J6" s="38">
        <v>1</v>
      </c>
      <c r="K6" s="38">
        <v>1</v>
      </c>
      <c r="L6" s="38">
        <v>1</v>
      </c>
      <c r="M6" s="38">
        <v>1</v>
      </c>
      <c r="N6" s="38">
        <v>1</v>
      </c>
      <c r="O6" s="38">
        <v>1</v>
      </c>
    </row>
    <row r="7" spans="1:15" s="24" customFormat="1" x14ac:dyDescent="0.3">
      <c r="B7" s="80">
        <v>145000</v>
      </c>
      <c r="C7" s="80">
        <f>C6*$B7/12</f>
        <v>12083.333333333334</v>
      </c>
      <c r="D7" s="80">
        <f t="shared" ref="D7" si="1">D6*$B7/12</f>
        <v>12083.333333333334</v>
      </c>
      <c r="E7" s="80">
        <f t="shared" ref="E7" si="2">E6*$B7/12</f>
        <v>12083.333333333334</v>
      </c>
      <c r="F7" s="80">
        <f t="shared" ref="F7" si="3">F6*$B7/12</f>
        <v>12083.333333333334</v>
      </c>
      <c r="G7" s="80">
        <f t="shared" ref="G7" si="4">G6*$B7/12</f>
        <v>12083.333333333334</v>
      </c>
      <c r="H7" s="80">
        <f t="shared" ref="H7" si="5">H6*$B7/12</f>
        <v>12083.333333333334</v>
      </c>
      <c r="I7" s="80">
        <f t="shared" ref="I7" si="6">I6*$B7/12</f>
        <v>12083.333333333334</v>
      </c>
      <c r="J7" s="80">
        <f t="shared" ref="J7" si="7">J6*$B7/12</f>
        <v>12083.333333333334</v>
      </c>
      <c r="K7" s="80">
        <f t="shared" ref="K7" si="8">K6*$B7/12</f>
        <v>12083.333333333334</v>
      </c>
      <c r="L7" s="80">
        <f t="shared" ref="L7" si="9">L6*$B7/12</f>
        <v>12083.333333333334</v>
      </c>
      <c r="M7" s="80">
        <f t="shared" ref="M7" si="10">M6*$B7/12</f>
        <v>12083.333333333334</v>
      </c>
      <c r="N7" s="80">
        <f t="shared" ref="N7" si="11">N6*$B7/12</f>
        <v>12083.333333333334</v>
      </c>
      <c r="O7" s="80">
        <f t="shared" ref="O7" si="12">O6*$B7/12</f>
        <v>12083.333333333334</v>
      </c>
    </row>
    <row r="8" spans="1:15" s="24" customFormat="1" x14ac:dyDescent="0.3">
      <c r="A8" s="24" t="s">
        <v>90</v>
      </c>
      <c r="C8" s="38">
        <v>1</v>
      </c>
      <c r="D8" s="38">
        <v>1</v>
      </c>
      <c r="E8" s="38">
        <v>1</v>
      </c>
      <c r="F8" s="38">
        <v>1</v>
      </c>
      <c r="G8" s="38"/>
      <c r="H8" s="38"/>
      <c r="I8" s="38"/>
      <c r="J8" s="38"/>
      <c r="K8" s="38"/>
      <c r="L8" s="38"/>
      <c r="M8" s="38"/>
      <c r="N8" s="38"/>
      <c r="O8" s="38"/>
    </row>
    <row r="9" spans="1:15" s="24" customFormat="1" x14ac:dyDescent="0.3">
      <c r="B9" s="80">
        <v>153000</v>
      </c>
      <c r="C9" s="80">
        <f>C8*$B9/12</f>
        <v>12750</v>
      </c>
      <c r="D9" s="80">
        <f t="shared" ref="D9" si="13">D8*$B9/12</f>
        <v>12750</v>
      </c>
      <c r="E9" s="80">
        <f t="shared" ref="E9" si="14">E8*$B9/12</f>
        <v>12750</v>
      </c>
      <c r="F9" s="80">
        <f t="shared" ref="F9" si="15">F8*$B9/12</f>
        <v>12750</v>
      </c>
      <c r="G9" s="80">
        <f t="shared" ref="G9" si="16">G8*$B9/12</f>
        <v>0</v>
      </c>
      <c r="H9" s="80">
        <f t="shared" ref="H9" si="17">H8*$B9/12</f>
        <v>0</v>
      </c>
      <c r="I9" s="80">
        <f t="shared" ref="I9" si="18">I8*$B9/12</f>
        <v>0</v>
      </c>
      <c r="J9" s="80">
        <f t="shared" ref="J9" si="19">J8*$B9/12</f>
        <v>0</v>
      </c>
      <c r="K9" s="80">
        <f t="shared" ref="K9" si="20">K8*$B9/12</f>
        <v>0</v>
      </c>
      <c r="L9" s="80">
        <f t="shared" ref="L9" si="21">L8*$B9/12</f>
        <v>0</v>
      </c>
      <c r="M9" s="80">
        <f t="shared" ref="M9" si="22">M8*$B9/12</f>
        <v>0</v>
      </c>
      <c r="N9" s="80">
        <f t="shared" ref="N9" si="23">N8*$B9/12</f>
        <v>0</v>
      </c>
      <c r="O9" s="80">
        <f t="shared" ref="O9" si="24">O8*$B9/12</f>
        <v>0</v>
      </c>
    </row>
    <row r="10" spans="1:15" s="24" customFormat="1" x14ac:dyDescent="0.3">
      <c r="A10" s="24" t="s">
        <v>89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38">
        <v>1</v>
      </c>
      <c r="I10" s="38">
        <v>1</v>
      </c>
      <c r="J10" s="38">
        <v>1</v>
      </c>
      <c r="K10" s="38">
        <v>1</v>
      </c>
      <c r="L10" s="38">
        <v>1</v>
      </c>
      <c r="M10" s="38">
        <v>1</v>
      </c>
      <c r="N10" s="38">
        <v>1</v>
      </c>
      <c r="O10" s="38">
        <v>1</v>
      </c>
    </row>
    <row r="11" spans="1:15" s="24" customFormat="1" x14ac:dyDescent="0.3">
      <c r="B11" s="80">
        <v>51000</v>
      </c>
      <c r="C11" s="80">
        <f>C10*$B11/12</f>
        <v>4250</v>
      </c>
      <c r="D11" s="80">
        <f t="shared" ref="D11" si="25">D10*$B11/12</f>
        <v>4250</v>
      </c>
      <c r="E11" s="80">
        <f t="shared" ref="E11" si="26">E10*$B11/12</f>
        <v>4250</v>
      </c>
      <c r="F11" s="80">
        <f t="shared" ref="F11" si="27">F10*$B11/12</f>
        <v>4250</v>
      </c>
      <c r="G11" s="80">
        <f t="shared" ref="G11" si="28">G10*$B11/12</f>
        <v>4250</v>
      </c>
      <c r="H11" s="80">
        <f t="shared" ref="H11" si="29">H10*$B11/12</f>
        <v>4250</v>
      </c>
      <c r="I11" s="80">
        <f t="shared" ref="I11" si="30">I10*$B11/12</f>
        <v>4250</v>
      </c>
      <c r="J11" s="80">
        <f t="shared" ref="J11" si="31">J10*$B11/12</f>
        <v>4250</v>
      </c>
      <c r="K11" s="80">
        <f t="shared" ref="K11" si="32">K10*$B11/12</f>
        <v>4250</v>
      </c>
      <c r="L11" s="80">
        <f t="shared" ref="L11" si="33">L10*$B11/12</f>
        <v>4250</v>
      </c>
      <c r="M11" s="80">
        <f t="shared" ref="M11" si="34">M10*$B11/12</f>
        <v>4250</v>
      </c>
      <c r="N11" s="80">
        <f t="shared" ref="N11" si="35">N10*$B11/12</f>
        <v>4250</v>
      </c>
      <c r="O11" s="80">
        <f t="shared" ref="O11" si="36">O10*$B11/12</f>
        <v>4250</v>
      </c>
    </row>
    <row r="12" spans="1:15" s="24" customFormat="1" x14ac:dyDescent="0.3">
      <c r="A12" s="24" t="s">
        <v>88</v>
      </c>
      <c r="C12" s="38">
        <v>1</v>
      </c>
      <c r="D12" s="38">
        <v>1</v>
      </c>
      <c r="E12" s="38">
        <v>1</v>
      </c>
      <c r="F12" s="38">
        <v>1</v>
      </c>
      <c r="G12" s="38">
        <v>1</v>
      </c>
      <c r="H12" s="38">
        <v>1</v>
      </c>
      <c r="I12" s="38">
        <v>1</v>
      </c>
      <c r="J12" s="38">
        <v>1</v>
      </c>
      <c r="K12" s="38">
        <v>1</v>
      </c>
      <c r="L12" s="38">
        <v>1</v>
      </c>
      <c r="M12" s="38">
        <v>1</v>
      </c>
      <c r="N12" s="38">
        <v>1</v>
      </c>
      <c r="O12" s="38">
        <v>1</v>
      </c>
    </row>
    <row r="13" spans="1:15" s="24" customFormat="1" x14ac:dyDescent="0.3">
      <c r="B13" s="80">
        <v>48000</v>
      </c>
      <c r="C13" s="80">
        <f>C12*$B13/12</f>
        <v>4000</v>
      </c>
      <c r="D13" s="80">
        <f t="shared" ref="D13" si="37">D12*$B13/12</f>
        <v>4000</v>
      </c>
      <c r="E13" s="80">
        <f t="shared" ref="E13" si="38">E12*$B13/12</f>
        <v>4000</v>
      </c>
      <c r="F13" s="80">
        <f t="shared" ref="F13" si="39">F12*$B13/12</f>
        <v>4000</v>
      </c>
      <c r="G13" s="80">
        <f t="shared" ref="G13" si="40">G12*$B13/12</f>
        <v>4000</v>
      </c>
      <c r="H13" s="80">
        <f t="shared" ref="H13" si="41">H12*$B13/12</f>
        <v>4000</v>
      </c>
      <c r="I13" s="80">
        <f t="shared" ref="I13" si="42">I12*$B13/12</f>
        <v>4000</v>
      </c>
      <c r="J13" s="80">
        <f t="shared" ref="J13" si="43">J12*$B13/12</f>
        <v>4000</v>
      </c>
      <c r="K13" s="80">
        <f t="shared" ref="K13" si="44">K12*$B13/12</f>
        <v>4000</v>
      </c>
      <c r="L13" s="80">
        <f t="shared" ref="L13" si="45">L12*$B13/12</f>
        <v>4000</v>
      </c>
      <c r="M13" s="80">
        <f t="shared" ref="M13" si="46">M12*$B13/12</f>
        <v>4000</v>
      </c>
      <c r="N13" s="80">
        <f t="shared" ref="N13" si="47">N12*$B13/12</f>
        <v>4000</v>
      </c>
      <c r="O13" s="80">
        <f t="shared" ref="O13" si="48">O12*$B13/12</f>
        <v>4000</v>
      </c>
    </row>
    <row r="14" spans="1:15" s="24" customFormat="1" x14ac:dyDescent="0.3">
      <c r="A14" s="24" t="s">
        <v>87</v>
      </c>
      <c r="C14" s="38">
        <v>0.5</v>
      </c>
      <c r="D14" s="38">
        <v>0.5</v>
      </c>
      <c r="E14" s="38">
        <v>0.5</v>
      </c>
      <c r="F14" s="38">
        <v>0.5</v>
      </c>
      <c r="G14" s="38">
        <v>0.5</v>
      </c>
      <c r="H14" s="38">
        <v>0.5</v>
      </c>
      <c r="I14" s="38">
        <v>0.5</v>
      </c>
      <c r="J14" s="38">
        <v>0.5</v>
      </c>
      <c r="K14" s="38">
        <v>0.5</v>
      </c>
      <c r="L14" s="38">
        <v>0.5</v>
      </c>
      <c r="M14" s="38">
        <v>0.5</v>
      </c>
      <c r="N14" s="38">
        <v>0.5</v>
      </c>
      <c r="O14" s="38">
        <v>0.5</v>
      </c>
    </row>
    <row r="15" spans="1:15" s="24" customFormat="1" x14ac:dyDescent="0.3">
      <c r="B15" s="81">
        <f>6000*12</f>
        <v>72000</v>
      </c>
      <c r="C15" s="80">
        <f>C14*$B15/12</f>
        <v>3000</v>
      </c>
      <c r="D15" s="80">
        <f t="shared" ref="D15" si="49">D14*$B15/12</f>
        <v>3000</v>
      </c>
      <c r="E15" s="80">
        <f t="shared" ref="E15" si="50">E14*$B15/12</f>
        <v>3000</v>
      </c>
      <c r="F15" s="80">
        <f t="shared" ref="F15" si="51">F14*$B15/12</f>
        <v>3000</v>
      </c>
      <c r="G15" s="80">
        <f t="shared" ref="G15" si="52">G14*$B15/12</f>
        <v>3000</v>
      </c>
      <c r="H15" s="80">
        <f t="shared" ref="H15" si="53">H14*$B15/12</f>
        <v>3000</v>
      </c>
      <c r="I15" s="80">
        <f t="shared" ref="I15" si="54">I14*$B15/12</f>
        <v>3000</v>
      </c>
      <c r="J15" s="80">
        <f t="shared" ref="J15" si="55">J14*$B15/12</f>
        <v>3000</v>
      </c>
      <c r="K15" s="80">
        <f t="shared" ref="K15" si="56">K14*$B15/12</f>
        <v>3000</v>
      </c>
      <c r="L15" s="80">
        <f t="shared" ref="L15" si="57">L14*$B15/12</f>
        <v>3000</v>
      </c>
      <c r="M15" s="80">
        <f t="shared" ref="M15" si="58">M14*$B15/12</f>
        <v>3000</v>
      </c>
      <c r="N15" s="80">
        <f t="shared" ref="N15" si="59">N14*$B15/12</f>
        <v>3000</v>
      </c>
      <c r="O15" s="80">
        <f t="shared" ref="O15" si="60">O14*$B15/12</f>
        <v>3000</v>
      </c>
    </row>
    <row r="16" spans="1:15" s="24" customFormat="1" x14ac:dyDescent="0.3">
      <c r="A16" s="79" t="s">
        <v>153</v>
      </c>
      <c r="C16" s="38"/>
      <c r="D16" s="38">
        <v>1</v>
      </c>
      <c r="E16" s="38">
        <v>1</v>
      </c>
      <c r="F16" s="38">
        <v>1</v>
      </c>
      <c r="G16" s="38">
        <v>1</v>
      </c>
      <c r="H16" s="38">
        <v>1</v>
      </c>
      <c r="I16" s="38">
        <v>1</v>
      </c>
      <c r="J16" s="38">
        <v>1</v>
      </c>
      <c r="K16" s="38">
        <v>1</v>
      </c>
      <c r="L16" s="38">
        <v>1</v>
      </c>
      <c r="M16" s="38">
        <v>1</v>
      </c>
      <c r="N16" s="38">
        <v>1</v>
      </c>
      <c r="O16" s="38">
        <v>1</v>
      </c>
    </row>
    <row r="17" spans="1:15" s="24" customFormat="1" x14ac:dyDescent="0.3">
      <c r="B17" s="81">
        <v>216000</v>
      </c>
      <c r="C17" s="80">
        <f>C16*$B17/12</f>
        <v>0</v>
      </c>
      <c r="D17" s="80">
        <f t="shared" ref="D17" si="61">D16*$B17/12</f>
        <v>18000</v>
      </c>
      <c r="E17" s="80">
        <f t="shared" ref="E17" si="62">E16*$B17/12</f>
        <v>18000</v>
      </c>
      <c r="F17" s="80">
        <f t="shared" ref="F17" si="63">F16*$B17/12</f>
        <v>18000</v>
      </c>
      <c r="G17" s="80">
        <f t="shared" ref="G17" si="64">G16*$B17/12</f>
        <v>18000</v>
      </c>
      <c r="H17" s="80">
        <f t="shared" ref="H17" si="65">H16*$B17/12</f>
        <v>18000</v>
      </c>
      <c r="I17" s="80">
        <f t="shared" ref="I17" si="66">I16*$B17/12</f>
        <v>18000</v>
      </c>
      <c r="J17" s="80">
        <f t="shared" ref="J17" si="67">J16*$B17/12</f>
        <v>18000</v>
      </c>
      <c r="K17" s="80">
        <f t="shared" ref="K17" si="68">K16*$B17/12</f>
        <v>18000</v>
      </c>
      <c r="L17" s="80">
        <f t="shared" ref="L17" si="69">L16*$B17/12</f>
        <v>18000</v>
      </c>
      <c r="M17" s="80">
        <f t="shared" ref="M17" si="70">M16*$B17/12</f>
        <v>18000</v>
      </c>
      <c r="N17" s="80">
        <f t="shared" ref="N17" si="71">N16*$B17/12</f>
        <v>18000</v>
      </c>
      <c r="O17" s="80">
        <f t="shared" ref="O17" si="72">O16*$B17/12</f>
        <v>18000</v>
      </c>
    </row>
    <row r="18" spans="1:15" s="24" customFormat="1" x14ac:dyDescent="0.3">
      <c r="A18" s="24" t="s">
        <v>86</v>
      </c>
      <c r="C18" s="38"/>
      <c r="D18" s="38"/>
      <c r="E18" s="38"/>
      <c r="F18" s="38">
        <v>1</v>
      </c>
      <c r="G18" s="38">
        <v>1</v>
      </c>
      <c r="H18" s="38">
        <v>1</v>
      </c>
      <c r="I18" s="38"/>
      <c r="J18" s="38"/>
      <c r="K18" s="38"/>
      <c r="L18" s="38"/>
      <c r="M18" s="38"/>
      <c r="N18" s="38"/>
      <c r="O18" s="38"/>
    </row>
    <row r="19" spans="1:15" s="24" customFormat="1" x14ac:dyDescent="0.3">
      <c r="B19" s="81">
        <v>160000</v>
      </c>
      <c r="C19" s="80">
        <f>C18*$B19/12</f>
        <v>0</v>
      </c>
      <c r="D19" s="80">
        <f t="shared" ref="D19" si="73">D18*$B19/12</f>
        <v>0</v>
      </c>
      <c r="E19" s="80">
        <f t="shared" ref="E19" si="74">E18*$B19/12</f>
        <v>0</v>
      </c>
      <c r="F19" s="80">
        <f t="shared" ref="F19" si="75">F18*$B19/12</f>
        <v>13333.333333333334</v>
      </c>
      <c r="G19" s="80">
        <f t="shared" ref="G19" si="76">G18*$B19/12</f>
        <v>13333.333333333334</v>
      </c>
      <c r="H19" s="80">
        <f t="shared" ref="H19" si="77">H18*$B19/12</f>
        <v>13333.333333333334</v>
      </c>
      <c r="I19" s="80">
        <f t="shared" ref="I19" si="78">I18*$B19/12</f>
        <v>0</v>
      </c>
      <c r="J19" s="80">
        <f t="shared" ref="J19" si="79">J18*$B19/12</f>
        <v>0</v>
      </c>
      <c r="K19" s="80">
        <f t="shared" ref="K19" si="80">K18*$B19/12</f>
        <v>0</v>
      </c>
      <c r="L19" s="80">
        <f t="shared" ref="L19" si="81">L18*$B19/12</f>
        <v>0</v>
      </c>
      <c r="M19" s="80">
        <f t="shared" ref="M19" si="82">M18*$B19/12</f>
        <v>0</v>
      </c>
      <c r="N19" s="80">
        <f t="shared" ref="N19" si="83">N18*$B19/12</f>
        <v>0</v>
      </c>
      <c r="O19" s="80">
        <f t="shared" ref="O19" si="84">O18*$B19/12</f>
        <v>0</v>
      </c>
    </row>
    <row r="20" spans="1:15" s="24" customFormat="1" x14ac:dyDescent="0.3">
      <c r="A20" s="24" t="s">
        <v>85</v>
      </c>
      <c r="C20" s="38"/>
      <c r="D20" s="38"/>
      <c r="E20" s="38"/>
      <c r="F20" s="38">
        <v>1</v>
      </c>
      <c r="G20" s="38">
        <v>1</v>
      </c>
      <c r="H20" s="38">
        <v>1</v>
      </c>
      <c r="I20" s="38">
        <v>1</v>
      </c>
      <c r="J20" s="38">
        <v>1</v>
      </c>
      <c r="K20" s="38">
        <v>1</v>
      </c>
      <c r="L20" s="38">
        <v>1</v>
      </c>
      <c r="M20" s="38">
        <v>1</v>
      </c>
      <c r="N20" s="38">
        <v>1</v>
      </c>
      <c r="O20" s="38">
        <v>1</v>
      </c>
    </row>
    <row r="21" spans="1:15" s="24" customFormat="1" x14ac:dyDescent="0.3">
      <c r="B21" s="81">
        <v>120000</v>
      </c>
      <c r="C21" s="80">
        <f>C20*$B21/12</f>
        <v>0</v>
      </c>
      <c r="D21" s="80">
        <f t="shared" ref="D21" si="85">D20*$B21/12</f>
        <v>0</v>
      </c>
      <c r="E21" s="80">
        <f t="shared" ref="E21" si="86">E20*$B21/12</f>
        <v>0</v>
      </c>
      <c r="F21" s="80">
        <f t="shared" ref="F21" si="87">F20*$B21/12</f>
        <v>10000</v>
      </c>
      <c r="G21" s="80">
        <f t="shared" ref="G21" si="88">G20*$B21/12</f>
        <v>10000</v>
      </c>
      <c r="H21" s="80">
        <f t="shared" ref="H21" si="89">H20*$B21/12</f>
        <v>10000</v>
      </c>
      <c r="I21" s="80">
        <f t="shared" ref="I21" si="90">I20*$B21/12</f>
        <v>10000</v>
      </c>
      <c r="J21" s="80">
        <f t="shared" ref="J21" si="91">J20*$B21/12</f>
        <v>10000</v>
      </c>
      <c r="K21" s="80">
        <f t="shared" ref="K21" si="92">K20*$B21/12</f>
        <v>10000</v>
      </c>
      <c r="L21" s="80">
        <f t="shared" ref="L21" si="93">L20*$B21/12</f>
        <v>10000</v>
      </c>
      <c r="M21" s="80">
        <f t="shared" ref="M21" si="94">M20*$B21/12</f>
        <v>10000</v>
      </c>
      <c r="N21" s="80">
        <f t="shared" ref="N21" si="95">N20*$B21/12</f>
        <v>10000</v>
      </c>
      <c r="O21" s="80">
        <f t="shared" ref="O21" si="96">O20*$B21/12</f>
        <v>10000</v>
      </c>
    </row>
    <row r="22" spans="1:15" s="24" customFormat="1" x14ac:dyDescent="0.3">
      <c r="A22" s="26" t="s">
        <v>119</v>
      </c>
      <c r="B22" s="26"/>
      <c r="C22" s="45">
        <f>C4+C6+C8+C10+C12+C14+C16+C18+C20</f>
        <v>5.5</v>
      </c>
      <c r="D22" s="45">
        <f t="shared" ref="D22:O22" si="97">D4+D6+D8+D10+D12+D14+D16+D18+D20</f>
        <v>6.5</v>
      </c>
      <c r="E22" s="45">
        <f t="shared" si="97"/>
        <v>6.5</v>
      </c>
      <c r="F22" s="45">
        <f t="shared" si="97"/>
        <v>8.5</v>
      </c>
      <c r="G22" s="45">
        <f t="shared" si="97"/>
        <v>7.5</v>
      </c>
      <c r="H22" s="45">
        <f t="shared" si="97"/>
        <v>7.5</v>
      </c>
      <c r="I22" s="45">
        <f t="shared" si="97"/>
        <v>6.5</v>
      </c>
      <c r="J22" s="45">
        <f t="shared" si="97"/>
        <v>6.5</v>
      </c>
      <c r="K22" s="45">
        <f t="shared" si="97"/>
        <v>6.5</v>
      </c>
      <c r="L22" s="45">
        <f t="shared" si="97"/>
        <v>6.5</v>
      </c>
      <c r="M22" s="45">
        <f t="shared" si="97"/>
        <v>6.5</v>
      </c>
      <c r="N22" s="45">
        <f t="shared" si="97"/>
        <v>6.5</v>
      </c>
      <c r="O22" s="45">
        <f t="shared" si="97"/>
        <v>6.5</v>
      </c>
    </row>
    <row r="23" spans="1:15" s="26" customFormat="1" x14ac:dyDescent="0.3">
      <c r="A23" s="26" t="s">
        <v>152</v>
      </c>
      <c r="C23" s="51">
        <f>C5+C7+C9+C11+C13+C15+C17+C19+C21</f>
        <v>60883.333333333336</v>
      </c>
      <c r="D23" s="51">
        <f t="shared" ref="D23:O23" si="98">D5+D7+D9+D11+D13+D15+D17+D19+D21</f>
        <v>78883.333333333343</v>
      </c>
      <c r="E23" s="51">
        <f t="shared" si="98"/>
        <v>78883.333333333343</v>
      </c>
      <c r="F23" s="51">
        <f t="shared" si="98"/>
        <v>102216.66666666667</v>
      </c>
      <c r="G23" s="51">
        <f t="shared" si="98"/>
        <v>89466.666666666672</v>
      </c>
      <c r="H23" s="51">
        <f t="shared" si="98"/>
        <v>89466.666666666672</v>
      </c>
      <c r="I23" s="51">
        <f t="shared" si="98"/>
        <v>76133.333333333343</v>
      </c>
      <c r="J23" s="51">
        <f t="shared" si="98"/>
        <v>76133.333333333343</v>
      </c>
      <c r="K23" s="51">
        <f t="shared" si="98"/>
        <v>76133.333333333343</v>
      </c>
      <c r="L23" s="51">
        <f t="shared" si="98"/>
        <v>76133.333333333343</v>
      </c>
      <c r="M23" s="51">
        <f t="shared" si="98"/>
        <v>76133.333333333343</v>
      </c>
      <c r="N23" s="51">
        <f t="shared" si="98"/>
        <v>76133.333333333343</v>
      </c>
      <c r="O23" s="51">
        <f t="shared" si="98"/>
        <v>76133.333333333343</v>
      </c>
    </row>
    <row r="24" spans="1:15" x14ac:dyDescent="0.3">
      <c r="B24" s="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3">
      <c r="A25" s="1" t="s">
        <v>0</v>
      </c>
      <c r="B25" s="1"/>
    </row>
    <row r="26" spans="1:15" s="24" customFormat="1" x14ac:dyDescent="0.3">
      <c r="A26" s="24" t="s">
        <v>118</v>
      </c>
      <c r="C26" s="38">
        <v>1</v>
      </c>
      <c r="D26" s="38">
        <v>1</v>
      </c>
      <c r="E26" s="38">
        <v>1</v>
      </c>
      <c r="F26" s="38">
        <v>1</v>
      </c>
      <c r="G26" s="38">
        <v>1</v>
      </c>
      <c r="H26" s="38">
        <v>1</v>
      </c>
      <c r="I26" s="38">
        <v>1</v>
      </c>
      <c r="J26" s="38">
        <v>1</v>
      </c>
      <c r="K26" s="38">
        <v>1</v>
      </c>
      <c r="L26" s="38">
        <v>1</v>
      </c>
      <c r="M26" s="38">
        <v>1</v>
      </c>
      <c r="N26" s="38">
        <v>1</v>
      </c>
      <c r="O26" s="38">
        <v>1</v>
      </c>
    </row>
    <row r="27" spans="1:15" s="24" customFormat="1" x14ac:dyDescent="0.3">
      <c r="B27" s="80">
        <f>24800*12</f>
        <v>297600</v>
      </c>
      <c r="C27" s="80">
        <f>C26*$B27/12</f>
        <v>24800</v>
      </c>
      <c r="D27" s="80">
        <f t="shared" ref="D27" si="99">D26*$B27/12</f>
        <v>24800</v>
      </c>
      <c r="E27" s="80">
        <f t="shared" ref="E27" si="100">E26*$B27/12</f>
        <v>24800</v>
      </c>
      <c r="F27" s="80">
        <f t="shared" ref="F27" si="101">F26*$B27/12</f>
        <v>24800</v>
      </c>
      <c r="G27" s="80">
        <f t="shared" ref="G27" si="102">G26*$B27/12</f>
        <v>24800</v>
      </c>
      <c r="H27" s="80">
        <f t="shared" ref="H27" si="103">H26*$B27/12</f>
        <v>24800</v>
      </c>
      <c r="I27" s="80">
        <f t="shared" ref="I27" si="104">I26*$B27/12</f>
        <v>24800</v>
      </c>
      <c r="J27" s="80">
        <f t="shared" ref="J27" si="105">J26*$B27/12</f>
        <v>24800</v>
      </c>
      <c r="K27" s="80">
        <f t="shared" ref="K27" si="106">K26*$B27/12</f>
        <v>24800</v>
      </c>
      <c r="L27" s="80">
        <f t="shared" ref="L27" si="107">L26*$B27/12</f>
        <v>24800</v>
      </c>
      <c r="M27" s="80">
        <f t="shared" ref="M27" si="108">M26*$B27/12</f>
        <v>24800</v>
      </c>
      <c r="N27" s="80">
        <f t="shared" ref="N27" si="109">N26*$B27/12</f>
        <v>24800</v>
      </c>
      <c r="O27" s="80">
        <f t="shared" ref="O27" si="110">O26*$B27/12</f>
        <v>24800</v>
      </c>
    </row>
    <row r="28" spans="1:15" x14ac:dyDescent="0.3">
      <c r="A28" s="4" t="s">
        <v>13</v>
      </c>
      <c r="C28" s="17">
        <v>1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s="24" customFormat="1" x14ac:dyDescent="0.3">
      <c r="B29" s="80">
        <v>145000</v>
      </c>
      <c r="C29" s="80">
        <f>C28*$B29/12</f>
        <v>12083.333333333334</v>
      </c>
      <c r="D29" s="80">
        <f t="shared" ref="D29" si="111">D28*$B29/12</f>
        <v>0</v>
      </c>
      <c r="E29" s="80">
        <f t="shared" ref="E29" si="112">E28*$B29/12</f>
        <v>0</v>
      </c>
      <c r="F29" s="80">
        <f t="shared" ref="F29" si="113">F28*$B29/12</f>
        <v>0</v>
      </c>
      <c r="G29" s="80">
        <f t="shared" ref="G29" si="114">G28*$B29/12</f>
        <v>0</v>
      </c>
      <c r="H29" s="80">
        <f t="shared" ref="H29" si="115">H28*$B29/12</f>
        <v>0</v>
      </c>
      <c r="I29" s="80">
        <f t="shared" ref="I29" si="116">I28*$B29/12</f>
        <v>0</v>
      </c>
      <c r="J29" s="80">
        <f t="shared" ref="J29" si="117">J28*$B29/12</f>
        <v>0</v>
      </c>
      <c r="K29" s="80">
        <f t="shared" ref="K29" si="118">K28*$B29/12</f>
        <v>0</v>
      </c>
      <c r="L29" s="80">
        <f t="shared" ref="L29" si="119">L28*$B29/12</f>
        <v>0</v>
      </c>
      <c r="M29" s="80">
        <f t="shared" ref="M29" si="120">M28*$B29/12</f>
        <v>0</v>
      </c>
      <c r="N29" s="80">
        <f t="shared" ref="N29" si="121">N28*$B29/12</f>
        <v>0</v>
      </c>
      <c r="O29" s="80">
        <f t="shared" ref="O29" si="122">O28*$B29/12</f>
        <v>0</v>
      </c>
    </row>
    <row r="30" spans="1:15" x14ac:dyDescent="0.3">
      <c r="A30" s="4" t="s">
        <v>14</v>
      </c>
      <c r="C30" s="17">
        <v>1</v>
      </c>
      <c r="D30" s="17">
        <v>1</v>
      </c>
      <c r="E30" s="17">
        <v>1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>
        <v>1</v>
      </c>
    </row>
    <row r="31" spans="1:15" s="24" customFormat="1" x14ac:dyDescent="0.3">
      <c r="B31" s="80">
        <v>62000</v>
      </c>
      <c r="C31" s="80">
        <f>C30*$B31/12</f>
        <v>5166.666666666667</v>
      </c>
      <c r="D31" s="80">
        <f t="shared" ref="D31" si="123">D30*$B31/12</f>
        <v>5166.666666666667</v>
      </c>
      <c r="E31" s="80">
        <f t="shared" ref="E31" si="124">E30*$B31/12</f>
        <v>5166.666666666667</v>
      </c>
      <c r="F31" s="80">
        <f t="shared" ref="F31" si="125">F30*$B31/12</f>
        <v>5166.666666666667</v>
      </c>
      <c r="G31" s="80">
        <f t="shared" ref="G31" si="126">G30*$B31/12</f>
        <v>5166.666666666667</v>
      </c>
      <c r="H31" s="80">
        <f t="shared" ref="H31" si="127">H30*$B31/12</f>
        <v>5166.666666666667</v>
      </c>
      <c r="I31" s="80">
        <f t="shared" ref="I31" si="128">I30*$B31/12</f>
        <v>5166.666666666667</v>
      </c>
      <c r="J31" s="80">
        <f t="shared" ref="J31" si="129">J30*$B31/12</f>
        <v>5166.666666666667</v>
      </c>
      <c r="K31" s="80">
        <f t="shared" ref="K31" si="130">K30*$B31/12</f>
        <v>5166.666666666667</v>
      </c>
      <c r="L31" s="80">
        <f t="shared" ref="L31" si="131">L30*$B31/12</f>
        <v>5166.666666666667</v>
      </c>
      <c r="M31" s="80">
        <f t="shared" ref="M31" si="132">M30*$B31/12</f>
        <v>5166.666666666667</v>
      </c>
      <c r="N31" s="80">
        <f t="shared" ref="N31" si="133">N30*$B31/12</f>
        <v>5166.666666666667</v>
      </c>
      <c r="O31" s="80">
        <f t="shared" ref="O31" si="134">O30*$B31/12</f>
        <v>5166.666666666667</v>
      </c>
    </row>
    <row r="32" spans="1:15" x14ac:dyDescent="0.3">
      <c r="A32" s="4" t="s">
        <v>15</v>
      </c>
      <c r="C32" s="17">
        <v>1</v>
      </c>
      <c r="D32" s="17">
        <v>1</v>
      </c>
      <c r="E32" s="17">
        <v>1</v>
      </c>
      <c r="F32" s="17">
        <v>1</v>
      </c>
      <c r="G32" s="17">
        <v>1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</row>
    <row r="33" spans="1:15" s="24" customFormat="1" x14ac:dyDescent="0.3">
      <c r="B33" s="80">
        <v>62000</v>
      </c>
      <c r="C33" s="80">
        <f>C32*$B33/12</f>
        <v>5166.666666666667</v>
      </c>
      <c r="D33" s="80">
        <f t="shared" ref="D33" si="135">D32*$B33/12</f>
        <v>5166.666666666667</v>
      </c>
      <c r="E33" s="80">
        <f t="shared" ref="E33" si="136">E32*$B33/12</f>
        <v>5166.666666666667</v>
      </c>
      <c r="F33" s="80">
        <f t="shared" ref="F33" si="137">F32*$B33/12</f>
        <v>5166.666666666667</v>
      </c>
      <c r="G33" s="80">
        <f t="shared" ref="G33" si="138">G32*$B33/12</f>
        <v>5166.666666666667</v>
      </c>
      <c r="H33" s="80">
        <f t="shared" ref="H33" si="139">H32*$B33/12</f>
        <v>5166.666666666667</v>
      </c>
      <c r="I33" s="80">
        <f t="shared" ref="I33" si="140">I32*$B33/12</f>
        <v>5166.666666666667</v>
      </c>
      <c r="J33" s="80">
        <f t="shared" ref="J33" si="141">J32*$B33/12</f>
        <v>5166.666666666667</v>
      </c>
      <c r="K33" s="80">
        <f t="shared" ref="K33" si="142">K32*$B33/12</f>
        <v>5166.666666666667</v>
      </c>
      <c r="L33" s="80">
        <f t="shared" ref="L33" si="143">L32*$B33/12</f>
        <v>5166.666666666667</v>
      </c>
      <c r="M33" s="80">
        <f t="shared" ref="M33" si="144">M32*$B33/12</f>
        <v>5166.666666666667</v>
      </c>
      <c r="N33" s="80">
        <f t="shared" ref="N33" si="145">N32*$B33/12</f>
        <v>5166.666666666667</v>
      </c>
      <c r="O33" s="80">
        <f t="shared" ref="O33" si="146">O32*$B33/12</f>
        <v>5166.666666666667</v>
      </c>
    </row>
    <row r="34" spans="1:15" x14ac:dyDescent="0.3">
      <c r="A34" s="4" t="s">
        <v>16</v>
      </c>
      <c r="C34" s="17">
        <v>1</v>
      </c>
      <c r="D34" s="17">
        <v>1</v>
      </c>
      <c r="E34" s="17">
        <v>1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s="24" customFormat="1" x14ac:dyDescent="0.3">
      <c r="B35" s="80">
        <v>62000</v>
      </c>
      <c r="C35" s="80">
        <f>C34*$B35/12</f>
        <v>5166.666666666667</v>
      </c>
      <c r="D35" s="80">
        <f t="shared" ref="D35" si="147">D34*$B35/12</f>
        <v>5166.666666666667</v>
      </c>
      <c r="E35" s="80">
        <f t="shared" ref="E35" si="148">E34*$B35/12</f>
        <v>5166.666666666667</v>
      </c>
      <c r="F35" s="80">
        <f t="shared" ref="F35" si="149">F34*$B35/12</f>
        <v>0</v>
      </c>
      <c r="G35" s="80">
        <f t="shared" ref="G35" si="150">G34*$B35/12</f>
        <v>0</v>
      </c>
      <c r="H35" s="80">
        <f t="shared" ref="H35" si="151">H34*$B35/12</f>
        <v>0</v>
      </c>
      <c r="I35" s="80">
        <f t="shared" ref="I35" si="152">I34*$B35/12</f>
        <v>0</v>
      </c>
      <c r="J35" s="80">
        <f t="shared" ref="J35" si="153">J34*$B35/12</f>
        <v>0</v>
      </c>
      <c r="K35" s="80">
        <f t="shared" ref="K35" si="154">K34*$B35/12</f>
        <v>0</v>
      </c>
      <c r="L35" s="80">
        <f t="shared" ref="L35" si="155">L34*$B35/12</f>
        <v>0</v>
      </c>
      <c r="M35" s="80">
        <f t="shared" ref="M35" si="156">M34*$B35/12</f>
        <v>0</v>
      </c>
      <c r="N35" s="80">
        <f t="shared" ref="N35" si="157">N34*$B35/12</f>
        <v>0</v>
      </c>
      <c r="O35" s="80">
        <f t="shared" ref="O35" si="158">O34*$B35/12</f>
        <v>0</v>
      </c>
    </row>
    <row r="36" spans="1:15" x14ac:dyDescent="0.3">
      <c r="A36" s="73" t="s">
        <v>17</v>
      </c>
      <c r="C36" s="17">
        <v>0.5</v>
      </c>
      <c r="D36" s="17">
        <v>0.5</v>
      </c>
      <c r="E36" s="17">
        <v>0.5</v>
      </c>
      <c r="F36" s="17">
        <v>0.5</v>
      </c>
      <c r="G36" s="17">
        <v>0.5</v>
      </c>
      <c r="H36" s="17">
        <v>0.5</v>
      </c>
      <c r="I36" s="17">
        <v>0.5</v>
      </c>
      <c r="J36" s="17">
        <v>0.5</v>
      </c>
      <c r="K36" s="17">
        <v>0.5</v>
      </c>
      <c r="L36" s="17">
        <v>0.5</v>
      </c>
      <c r="M36" s="17">
        <v>0.5</v>
      </c>
      <c r="N36" s="17">
        <v>0.5</v>
      </c>
      <c r="O36" s="17">
        <v>0.5</v>
      </c>
    </row>
    <row r="37" spans="1:15" s="24" customFormat="1" x14ac:dyDescent="0.3">
      <c r="B37" s="80">
        <v>58500</v>
      </c>
      <c r="C37" s="80">
        <f>C36*$B37/12</f>
        <v>2437.5</v>
      </c>
      <c r="D37" s="80">
        <f t="shared" ref="D37" si="159">D36*$B37/12</f>
        <v>2437.5</v>
      </c>
      <c r="E37" s="80">
        <f t="shared" ref="E37" si="160">E36*$B37/12</f>
        <v>2437.5</v>
      </c>
      <c r="F37" s="80">
        <f t="shared" ref="F37" si="161">F36*$B37/12</f>
        <v>2437.5</v>
      </c>
      <c r="G37" s="80">
        <f t="shared" ref="G37" si="162">G36*$B37/12</f>
        <v>2437.5</v>
      </c>
      <c r="H37" s="80">
        <f t="shared" ref="H37" si="163">H36*$B37/12</f>
        <v>2437.5</v>
      </c>
      <c r="I37" s="80">
        <f t="shared" ref="I37" si="164">I36*$B37/12</f>
        <v>2437.5</v>
      </c>
      <c r="J37" s="80">
        <f t="shared" ref="J37" si="165">J36*$B37/12</f>
        <v>2437.5</v>
      </c>
      <c r="K37" s="80">
        <f t="shared" ref="K37" si="166">K36*$B37/12</f>
        <v>2437.5</v>
      </c>
      <c r="L37" s="80">
        <f t="shared" ref="L37" si="167">L36*$B37/12</f>
        <v>2437.5</v>
      </c>
      <c r="M37" s="80">
        <f t="shared" ref="M37" si="168">M36*$B37/12</f>
        <v>2437.5</v>
      </c>
      <c r="N37" s="80">
        <f t="shared" ref="N37" si="169">N36*$B37/12</f>
        <v>2437.5</v>
      </c>
      <c r="O37" s="80">
        <f t="shared" ref="O37" si="170">O36*$B37/12</f>
        <v>2437.5</v>
      </c>
    </row>
    <row r="38" spans="1:15" x14ac:dyDescent="0.3">
      <c r="A38" s="72" t="s">
        <v>18</v>
      </c>
      <c r="C38" s="17">
        <v>0.7</v>
      </c>
      <c r="D38" s="17">
        <v>0.7</v>
      </c>
      <c r="E38" s="17">
        <v>0.7</v>
      </c>
      <c r="F38" s="17">
        <v>0.7</v>
      </c>
      <c r="G38" s="17">
        <v>0.7</v>
      </c>
      <c r="H38" s="17">
        <v>0.7</v>
      </c>
      <c r="I38" s="17">
        <v>0.7</v>
      </c>
      <c r="J38" s="17">
        <v>0.7</v>
      </c>
      <c r="K38" s="17">
        <v>0.7</v>
      </c>
      <c r="L38" s="17">
        <v>0.7</v>
      </c>
      <c r="M38" s="17">
        <v>0.7</v>
      </c>
      <c r="N38" s="17">
        <v>0.7</v>
      </c>
      <c r="O38" s="17">
        <v>0.7</v>
      </c>
    </row>
    <row r="39" spans="1:15" s="24" customFormat="1" x14ac:dyDescent="0.3">
      <c r="B39" s="80">
        <v>110000</v>
      </c>
      <c r="C39" s="80">
        <f>C38*$B39/12</f>
        <v>6416.666666666667</v>
      </c>
      <c r="D39" s="80">
        <f t="shared" ref="D39" si="171">D38*$B39/12</f>
        <v>6416.666666666667</v>
      </c>
      <c r="E39" s="80">
        <f t="shared" ref="E39" si="172">E38*$B39/12</f>
        <v>6416.666666666667</v>
      </c>
      <c r="F39" s="80">
        <f t="shared" ref="F39" si="173">F38*$B39/12</f>
        <v>6416.666666666667</v>
      </c>
      <c r="G39" s="80">
        <f t="shared" ref="G39" si="174">G38*$B39/12</f>
        <v>6416.666666666667</v>
      </c>
      <c r="H39" s="80">
        <f t="shared" ref="H39" si="175">H38*$B39/12</f>
        <v>6416.666666666667</v>
      </c>
      <c r="I39" s="80">
        <f t="shared" ref="I39" si="176">I38*$B39/12</f>
        <v>6416.666666666667</v>
      </c>
      <c r="J39" s="80">
        <f t="shared" ref="J39" si="177">J38*$B39/12</f>
        <v>6416.666666666667</v>
      </c>
      <c r="K39" s="80">
        <f t="shared" ref="K39" si="178">K38*$B39/12</f>
        <v>6416.666666666667</v>
      </c>
      <c r="L39" s="80">
        <f t="shared" ref="L39" si="179">L38*$B39/12</f>
        <v>6416.666666666667</v>
      </c>
      <c r="M39" s="80">
        <f t="shared" ref="M39" si="180">M38*$B39/12</f>
        <v>6416.666666666667</v>
      </c>
      <c r="N39" s="80">
        <f t="shared" ref="N39" si="181">N38*$B39/12</f>
        <v>6416.666666666667</v>
      </c>
      <c r="O39" s="80">
        <f t="shared" ref="O39" si="182">O38*$B39/12</f>
        <v>6416.666666666667</v>
      </c>
    </row>
    <row r="40" spans="1:15" x14ac:dyDescent="0.3">
      <c r="A40" s="5" t="s">
        <v>19</v>
      </c>
      <c r="C40" s="6"/>
      <c r="D40" s="17"/>
      <c r="E40" s="6"/>
      <c r="F40" s="17"/>
      <c r="G40" s="17"/>
      <c r="H40" s="17"/>
      <c r="I40" s="17"/>
      <c r="J40" s="17"/>
      <c r="K40" s="17">
        <v>1</v>
      </c>
      <c r="L40" s="17">
        <v>1</v>
      </c>
      <c r="M40" s="17">
        <v>1</v>
      </c>
      <c r="N40" s="17">
        <v>1</v>
      </c>
      <c r="O40" s="17">
        <v>1</v>
      </c>
    </row>
    <row r="41" spans="1:15" s="24" customFormat="1" x14ac:dyDescent="0.3">
      <c r="B41" s="80">
        <v>62000</v>
      </c>
      <c r="C41" s="80">
        <f>C40*$B41/12</f>
        <v>0</v>
      </c>
      <c r="D41" s="80">
        <f t="shared" ref="D41:F41" si="183">D40*$B41/12</f>
        <v>0</v>
      </c>
      <c r="E41" s="80">
        <f>E40*$B41/12</f>
        <v>0</v>
      </c>
      <c r="F41" s="80">
        <f t="shared" si="183"/>
        <v>0</v>
      </c>
      <c r="G41" s="80">
        <f t="shared" ref="G41" si="184">G40*$B41/12</f>
        <v>0</v>
      </c>
      <c r="H41" s="80">
        <f t="shared" ref="H41" si="185">H40*$B41/12</f>
        <v>0</v>
      </c>
      <c r="I41" s="80">
        <f t="shared" ref="I41" si="186">I40*$B41/12</f>
        <v>0</v>
      </c>
      <c r="J41" s="80">
        <f t="shared" ref="J41" si="187">J40*$B41/12</f>
        <v>0</v>
      </c>
      <c r="K41" s="80">
        <f t="shared" ref="K41" si="188">K40*$B41/12</f>
        <v>5166.666666666667</v>
      </c>
      <c r="L41" s="80">
        <f t="shared" ref="L41" si="189">L40*$B41/12</f>
        <v>5166.666666666667</v>
      </c>
      <c r="M41" s="80">
        <f t="shared" ref="M41" si="190">M40*$B41/12</f>
        <v>5166.666666666667</v>
      </c>
      <c r="N41" s="80">
        <f t="shared" ref="N41" si="191">N40*$B41/12</f>
        <v>5166.666666666667</v>
      </c>
      <c r="O41" s="80">
        <f t="shared" ref="O41" si="192">O40*$B41/12</f>
        <v>5166.666666666667</v>
      </c>
    </row>
    <row r="42" spans="1:15" x14ac:dyDescent="0.3">
      <c r="A42" s="5" t="s">
        <v>19</v>
      </c>
      <c r="C42" s="6"/>
      <c r="D42" s="17"/>
      <c r="E42" s="6"/>
      <c r="F42" s="17"/>
      <c r="G42" s="17"/>
      <c r="H42" s="17"/>
      <c r="I42" s="17"/>
      <c r="J42" s="17"/>
      <c r="K42" s="17"/>
      <c r="L42" s="17">
        <v>1</v>
      </c>
      <c r="M42" s="17">
        <v>1</v>
      </c>
      <c r="N42" s="17">
        <v>1</v>
      </c>
      <c r="O42" s="17">
        <v>1</v>
      </c>
    </row>
    <row r="43" spans="1:15" s="24" customFormat="1" x14ac:dyDescent="0.3">
      <c r="B43" s="80">
        <v>62000</v>
      </c>
      <c r="C43" s="80">
        <f>C42*$B43/12</f>
        <v>0</v>
      </c>
      <c r="D43" s="80">
        <f t="shared" ref="D43:F43" si="193">D42*$B43/12</f>
        <v>0</v>
      </c>
      <c r="E43" s="80">
        <f>E42*$B43/12</f>
        <v>0</v>
      </c>
      <c r="F43" s="80">
        <f t="shared" si="193"/>
        <v>0</v>
      </c>
      <c r="G43" s="80">
        <f t="shared" ref="G43" si="194">G42*$B43/12</f>
        <v>0</v>
      </c>
      <c r="H43" s="80">
        <f t="shared" ref="H43" si="195">H42*$B43/12</f>
        <v>0</v>
      </c>
      <c r="I43" s="80">
        <f t="shared" ref="I43" si="196">I42*$B43/12</f>
        <v>0</v>
      </c>
      <c r="J43" s="80">
        <f t="shared" ref="J43" si="197">J42*$B43/12</f>
        <v>0</v>
      </c>
      <c r="K43" s="80">
        <f t="shared" ref="K43" si="198">K42*$B43/12</f>
        <v>0</v>
      </c>
      <c r="L43" s="80">
        <f t="shared" ref="L43" si="199">L42*$B43/12</f>
        <v>5166.666666666667</v>
      </c>
      <c r="M43" s="80">
        <f t="shared" ref="M43" si="200">M42*$B43/12</f>
        <v>5166.666666666667</v>
      </c>
      <c r="N43" s="80">
        <f t="shared" ref="N43" si="201">N42*$B43/12</f>
        <v>5166.666666666667</v>
      </c>
      <c r="O43" s="80">
        <f t="shared" ref="O43" si="202">O42*$B43/12</f>
        <v>5166.666666666667</v>
      </c>
    </row>
    <row r="44" spans="1:15" x14ac:dyDescent="0.3">
      <c r="A44" s="5" t="s">
        <v>19</v>
      </c>
      <c r="C44" s="6"/>
      <c r="D44" s="17"/>
      <c r="E44" s="6"/>
      <c r="F44" s="17"/>
      <c r="G44" s="17"/>
      <c r="H44" s="17"/>
      <c r="I44" s="17"/>
      <c r="J44" s="17"/>
      <c r="K44" s="17"/>
      <c r="L44" s="17">
        <v>1</v>
      </c>
      <c r="M44" s="17">
        <v>1</v>
      </c>
      <c r="N44" s="17">
        <v>1</v>
      </c>
      <c r="O44" s="17">
        <v>1</v>
      </c>
    </row>
    <row r="45" spans="1:15" s="24" customFormat="1" x14ac:dyDescent="0.3">
      <c r="B45" s="80">
        <v>62000</v>
      </c>
      <c r="C45" s="80">
        <f>C44*$B45/12</f>
        <v>0</v>
      </c>
      <c r="D45" s="80">
        <f t="shared" ref="D45:F45" si="203">D44*$B45/12</f>
        <v>0</v>
      </c>
      <c r="E45" s="80">
        <f>E44*$B45/12</f>
        <v>0</v>
      </c>
      <c r="F45" s="80">
        <f t="shared" si="203"/>
        <v>0</v>
      </c>
      <c r="G45" s="80">
        <f t="shared" ref="G45" si="204">G44*$B45/12</f>
        <v>0</v>
      </c>
      <c r="H45" s="80">
        <f t="shared" ref="H45" si="205">H44*$B45/12</f>
        <v>0</v>
      </c>
      <c r="I45" s="80">
        <f t="shared" ref="I45" si="206">I44*$B45/12</f>
        <v>0</v>
      </c>
      <c r="J45" s="80">
        <f t="shared" ref="J45" si="207">J44*$B45/12</f>
        <v>0</v>
      </c>
      <c r="K45" s="80">
        <f t="shared" ref="K45" si="208">K44*$B45/12</f>
        <v>0</v>
      </c>
      <c r="L45" s="80">
        <f t="shared" ref="L45" si="209">L44*$B45/12</f>
        <v>5166.666666666667</v>
      </c>
      <c r="M45" s="80">
        <f t="shared" ref="M45" si="210">M44*$B45/12</f>
        <v>5166.666666666667</v>
      </c>
      <c r="N45" s="80">
        <f t="shared" ref="N45" si="211">N44*$B45/12</f>
        <v>5166.666666666667</v>
      </c>
      <c r="O45" s="80">
        <f t="shared" ref="O45" si="212">O44*$B45/12</f>
        <v>5166.666666666667</v>
      </c>
    </row>
    <row r="46" spans="1:15" x14ac:dyDescent="0.3">
      <c r="A46" s="5" t="s">
        <v>19</v>
      </c>
      <c r="C46" s="6"/>
      <c r="D46" s="17"/>
      <c r="E46" s="6"/>
      <c r="F46" s="17"/>
      <c r="G46" s="17"/>
      <c r="H46" s="17"/>
      <c r="I46" s="17"/>
      <c r="J46" s="17"/>
      <c r="K46" s="17"/>
      <c r="L46" s="17"/>
      <c r="M46" s="17">
        <v>1</v>
      </c>
      <c r="N46" s="17">
        <v>1</v>
      </c>
      <c r="O46" s="17">
        <v>1</v>
      </c>
    </row>
    <row r="47" spans="1:15" s="24" customFormat="1" x14ac:dyDescent="0.3">
      <c r="B47" s="80">
        <v>62000</v>
      </c>
      <c r="C47" s="80">
        <f>C46*$B47/12</f>
        <v>0</v>
      </c>
      <c r="D47" s="80">
        <f t="shared" ref="D47:F47" si="213">D46*$B47/12</f>
        <v>0</v>
      </c>
      <c r="E47" s="80">
        <f>E46*$B47/12</f>
        <v>0</v>
      </c>
      <c r="F47" s="80">
        <f t="shared" si="213"/>
        <v>0</v>
      </c>
      <c r="G47" s="80">
        <f t="shared" ref="G47" si="214">G46*$B47/12</f>
        <v>0</v>
      </c>
      <c r="H47" s="80">
        <f t="shared" ref="H47" si="215">H46*$B47/12</f>
        <v>0</v>
      </c>
      <c r="I47" s="80">
        <f t="shared" ref="I47" si="216">I46*$B47/12</f>
        <v>0</v>
      </c>
      <c r="J47" s="80">
        <f t="shared" ref="J47" si="217">J46*$B47/12</f>
        <v>0</v>
      </c>
      <c r="K47" s="80">
        <f t="shared" ref="K47" si="218">K46*$B47/12</f>
        <v>0</v>
      </c>
      <c r="L47" s="80">
        <f t="shared" ref="L47" si="219">L46*$B47/12</f>
        <v>0</v>
      </c>
      <c r="M47" s="80">
        <f t="shared" ref="M47" si="220">M46*$B47/12</f>
        <v>5166.666666666667</v>
      </c>
      <c r="N47" s="80">
        <f t="shared" ref="N47" si="221">N46*$B47/12</f>
        <v>5166.666666666667</v>
      </c>
      <c r="O47" s="80">
        <f t="shared" ref="O47" si="222">O46*$B47/12</f>
        <v>5166.666666666667</v>
      </c>
    </row>
    <row r="48" spans="1:15" x14ac:dyDescent="0.3">
      <c r="A48" s="5" t="s">
        <v>20</v>
      </c>
      <c r="C48" s="6"/>
      <c r="D48" s="17"/>
      <c r="E48" s="6"/>
      <c r="F48" s="17">
        <v>1</v>
      </c>
      <c r="G48" s="17">
        <v>1</v>
      </c>
      <c r="H48" s="17">
        <v>1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7">
        <v>1</v>
      </c>
    </row>
    <row r="49" spans="1:26" s="24" customFormat="1" x14ac:dyDescent="0.3">
      <c r="B49" s="81">
        <v>180000</v>
      </c>
      <c r="C49" s="80">
        <f>C48*$B49/12</f>
        <v>0</v>
      </c>
      <c r="D49" s="80">
        <f t="shared" ref="D49:F49" si="223">D48*$B49/12</f>
        <v>0</v>
      </c>
      <c r="E49" s="80">
        <f>E48*$B49/12</f>
        <v>0</v>
      </c>
      <c r="F49" s="80">
        <f t="shared" si="223"/>
        <v>15000</v>
      </c>
      <c r="G49" s="80">
        <f t="shared" ref="G49" si="224">G48*$B49/12</f>
        <v>15000</v>
      </c>
      <c r="H49" s="80">
        <f t="shared" ref="H49" si="225">H48*$B49/12</f>
        <v>15000</v>
      </c>
      <c r="I49" s="80">
        <f t="shared" ref="I49" si="226">I48*$B49/12</f>
        <v>15000</v>
      </c>
      <c r="J49" s="80">
        <f t="shared" ref="J49" si="227">J48*$B49/12</f>
        <v>15000</v>
      </c>
      <c r="K49" s="80">
        <f t="shared" ref="K49" si="228">K48*$B49/12</f>
        <v>15000</v>
      </c>
      <c r="L49" s="80">
        <f t="shared" ref="L49" si="229">L48*$B49/12</f>
        <v>15000</v>
      </c>
      <c r="M49" s="80">
        <f t="shared" ref="M49" si="230">M48*$B49/12</f>
        <v>15000</v>
      </c>
      <c r="N49" s="80">
        <f t="shared" ref="N49" si="231">N48*$B49/12</f>
        <v>15000</v>
      </c>
      <c r="O49" s="80">
        <f t="shared" ref="O49" si="232">O48*$B49/12</f>
        <v>15000</v>
      </c>
    </row>
    <row r="50" spans="1:26" s="24" customFormat="1" x14ac:dyDescent="0.3">
      <c r="A50" s="26" t="s">
        <v>120</v>
      </c>
      <c r="B50" s="26"/>
      <c r="C50" s="45">
        <f>C32+C34+C36+C38+C40+C42+C44+C46+C48+C30+C28+C26</f>
        <v>6.2</v>
      </c>
      <c r="D50" s="45">
        <f t="shared" ref="D50:O50" si="233">D32+D34+D36+D38+D40+D42+D44+D46+D48+D30+D28+D26</f>
        <v>5.2</v>
      </c>
      <c r="E50" s="45">
        <f t="shared" si="233"/>
        <v>5.2</v>
      </c>
      <c r="F50" s="45">
        <f t="shared" si="233"/>
        <v>5.2</v>
      </c>
      <c r="G50" s="45">
        <f t="shared" si="233"/>
        <v>5.2</v>
      </c>
      <c r="H50" s="45">
        <f t="shared" si="233"/>
        <v>5.2</v>
      </c>
      <c r="I50" s="45">
        <f t="shared" si="233"/>
        <v>5.2</v>
      </c>
      <c r="J50" s="45">
        <f t="shared" si="233"/>
        <v>5.2</v>
      </c>
      <c r="K50" s="45">
        <f t="shared" si="233"/>
        <v>6.2</v>
      </c>
      <c r="L50" s="45">
        <f t="shared" si="233"/>
        <v>8.1999999999999993</v>
      </c>
      <c r="M50" s="45">
        <f t="shared" si="233"/>
        <v>9.1999999999999993</v>
      </c>
      <c r="N50" s="45">
        <f t="shared" si="233"/>
        <v>9.1999999999999993</v>
      </c>
      <c r="O50" s="45">
        <f t="shared" si="233"/>
        <v>9.1999999999999993</v>
      </c>
    </row>
    <row r="51" spans="1:26" x14ac:dyDescent="0.3">
      <c r="A51" s="26" t="s">
        <v>154</v>
      </c>
      <c r="C51" s="83">
        <f>C33+C35+C37+C39+C41+C43+C45+C47+C49+C31+C29+C27</f>
        <v>61237.5</v>
      </c>
      <c r="D51" s="83">
        <f t="shared" ref="D51:O51" si="234">D33+D35+D37+D39+D41+D43+D45+D47+D49+D31+D29+D27</f>
        <v>49154.166666666672</v>
      </c>
      <c r="E51" s="83">
        <f t="shared" si="234"/>
        <v>49154.166666666672</v>
      </c>
      <c r="F51" s="83">
        <f t="shared" si="234"/>
        <v>58987.5</v>
      </c>
      <c r="G51" s="83">
        <f t="shared" si="234"/>
        <v>58987.5</v>
      </c>
      <c r="H51" s="83">
        <f t="shared" si="234"/>
        <v>58987.5</v>
      </c>
      <c r="I51" s="83">
        <f t="shared" si="234"/>
        <v>58987.5</v>
      </c>
      <c r="J51" s="83">
        <f t="shared" si="234"/>
        <v>58987.5</v>
      </c>
      <c r="K51" s="83">
        <f t="shared" si="234"/>
        <v>64154.166666666664</v>
      </c>
      <c r="L51" s="83">
        <f t="shared" si="234"/>
        <v>74487.5</v>
      </c>
      <c r="M51" s="83">
        <f t="shared" si="234"/>
        <v>79654.166666666657</v>
      </c>
      <c r="N51" s="83">
        <f t="shared" si="234"/>
        <v>79654.166666666657</v>
      </c>
      <c r="O51" s="83">
        <f t="shared" si="234"/>
        <v>79654.166666666657</v>
      </c>
    </row>
    <row r="52" spans="1:26" x14ac:dyDescent="0.3"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</row>
    <row r="53" spans="1:26" x14ac:dyDescent="0.3">
      <c r="A53" s="1" t="s">
        <v>27</v>
      </c>
      <c r="B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72" t="s">
        <v>156</v>
      </c>
      <c r="B54" s="23"/>
      <c r="C54" s="17">
        <v>0.3</v>
      </c>
      <c r="D54" s="17">
        <v>0.25</v>
      </c>
      <c r="E54" s="17">
        <v>0.25</v>
      </c>
      <c r="F54" s="17">
        <v>0.25</v>
      </c>
      <c r="G54" s="17">
        <v>0.25</v>
      </c>
      <c r="H54" s="17">
        <v>0.25</v>
      </c>
      <c r="I54" s="17">
        <v>0.25</v>
      </c>
      <c r="J54" s="17">
        <v>0.25</v>
      </c>
      <c r="K54" s="17">
        <v>0.25</v>
      </c>
      <c r="L54" s="17">
        <v>0.25</v>
      </c>
      <c r="M54" s="17">
        <v>0.25</v>
      </c>
      <c r="N54" s="17">
        <v>0.25</v>
      </c>
      <c r="O54" s="17">
        <v>0.25</v>
      </c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s="24" customFormat="1" x14ac:dyDescent="0.3">
      <c r="B55" s="80">
        <v>110000</v>
      </c>
      <c r="C55" s="80">
        <f>C54*$B55/12</f>
        <v>2750</v>
      </c>
      <c r="D55" s="80">
        <f t="shared" ref="D55" si="235">D54*$B55/12</f>
        <v>2291.6666666666665</v>
      </c>
      <c r="E55" s="80">
        <f t="shared" ref="E55" si="236">E54*$B55/12</f>
        <v>2291.6666666666665</v>
      </c>
      <c r="F55" s="80">
        <f t="shared" ref="F55" si="237">F54*$B55/12</f>
        <v>2291.6666666666665</v>
      </c>
      <c r="G55" s="80">
        <f t="shared" ref="G55" si="238">G54*$B55/12</f>
        <v>2291.6666666666665</v>
      </c>
      <c r="H55" s="80">
        <f t="shared" ref="H55" si="239">H54*$B55/12</f>
        <v>2291.6666666666665</v>
      </c>
      <c r="I55" s="80">
        <f t="shared" ref="I55" si="240">I54*$B55/12</f>
        <v>2291.6666666666665</v>
      </c>
      <c r="J55" s="80">
        <f t="shared" ref="J55" si="241">J54*$B55/12</f>
        <v>2291.6666666666665</v>
      </c>
      <c r="K55" s="80">
        <f t="shared" ref="K55" si="242">K54*$B55/12</f>
        <v>2291.6666666666665</v>
      </c>
      <c r="L55" s="80">
        <f t="shared" ref="L55" si="243">L54*$B55/12</f>
        <v>2291.6666666666665</v>
      </c>
      <c r="M55" s="80">
        <f t="shared" ref="M55" si="244">M54*$B55/12</f>
        <v>2291.6666666666665</v>
      </c>
      <c r="N55" s="80">
        <f t="shared" ref="N55" si="245">N54*$B55/12</f>
        <v>2291.6666666666665</v>
      </c>
      <c r="O55" s="80">
        <f t="shared" ref="O55" si="246">O54*$B55/12</f>
        <v>2291.6666666666665</v>
      </c>
    </row>
    <row r="56" spans="1:26" x14ac:dyDescent="0.3">
      <c r="A56" s="72" t="s">
        <v>126</v>
      </c>
      <c r="B56" s="23"/>
      <c r="C56" s="17">
        <v>0.5</v>
      </c>
      <c r="D56" s="17">
        <v>0.5</v>
      </c>
      <c r="E56" s="17">
        <v>0.5</v>
      </c>
      <c r="F56" s="17">
        <v>0.5</v>
      </c>
      <c r="G56" s="17">
        <v>0.5</v>
      </c>
      <c r="H56" s="17">
        <v>0.5</v>
      </c>
      <c r="I56" s="17">
        <v>0.5</v>
      </c>
      <c r="J56" s="17">
        <v>0.5</v>
      </c>
      <c r="K56" s="17">
        <v>0.5</v>
      </c>
      <c r="L56" s="17">
        <v>0.5</v>
      </c>
      <c r="M56" s="17">
        <v>0.5</v>
      </c>
      <c r="N56" s="17">
        <v>0.5</v>
      </c>
      <c r="O56" s="17">
        <v>0.5</v>
      </c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s="24" customFormat="1" x14ac:dyDescent="0.3">
      <c r="B57" s="80">
        <v>58500</v>
      </c>
      <c r="C57" s="80">
        <f>C56*$B57/12</f>
        <v>2437.5</v>
      </c>
      <c r="D57" s="80">
        <f t="shared" ref="D57" si="247">D56*$B57/12</f>
        <v>2437.5</v>
      </c>
      <c r="E57" s="80">
        <f t="shared" ref="E57" si="248">E56*$B57/12</f>
        <v>2437.5</v>
      </c>
      <c r="F57" s="80">
        <f t="shared" ref="F57" si="249">F56*$B57/12</f>
        <v>2437.5</v>
      </c>
      <c r="G57" s="80">
        <f t="shared" ref="G57" si="250">G56*$B57/12</f>
        <v>2437.5</v>
      </c>
      <c r="H57" s="80">
        <f t="shared" ref="H57" si="251">H56*$B57/12</f>
        <v>2437.5</v>
      </c>
      <c r="I57" s="80">
        <f t="shared" ref="I57" si="252">I56*$B57/12</f>
        <v>2437.5</v>
      </c>
      <c r="J57" s="80">
        <f t="shared" ref="J57" si="253">J56*$B57/12</f>
        <v>2437.5</v>
      </c>
      <c r="K57" s="80">
        <f t="shared" ref="K57" si="254">K56*$B57/12</f>
        <v>2437.5</v>
      </c>
      <c r="L57" s="80">
        <f t="shared" ref="L57" si="255">L56*$B57/12</f>
        <v>2437.5</v>
      </c>
      <c r="M57" s="80">
        <f t="shared" ref="M57" si="256">M56*$B57/12</f>
        <v>2437.5</v>
      </c>
      <c r="N57" s="80">
        <f t="shared" ref="N57" si="257">N56*$B57/12</f>
        <v>2437.5</v>
      </c>
      <c r="O57" s="80">
        <f t="shared" ref="O57" si="258">O56*$B57/12</f>
        <v>2437.5</v>
      </c>
    </row>
    <row r="58" spans="1:26" x14ac:dyDescent="0.3">
      <c r="A58" s="23" t="s">
        <v>28</v>
      </c>
      <c r="B58" s="23"/>
      <c r="C58" s="17"/>
      <c r="D58" s="17"/>
      <c r="E58" s="17">
        <v>0.2</v>
      </c>
      <c r="F58" s="17">
        <v>0.2</v>
      </c>
      <c r="G58" s="17">
        <v>0.2</v>
      </c>
      <c r="H58" s="17">
        <v>0.2</v>
      </c>
      <c r="I58" s="17">
        <v>0.2</v>
      </c>
      <c r="J58" s="17">
        <v>0.2</v>
      </c>
      <c r="K58" s="17">
        <v>0.2</v>
      </c>
      <c r="L58" s="17">
        <v>0.2</v>
      </c>
      <c r="M58" s="17">
        <v>0.2</v>
      </c>
      <c r="N58" s="17">
        <v>0.2</v>
      </c>
      <c r="O58" s="17">
        <v>0.2</v>
      </c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s="24" customFormat="1" x14ac:dyDescent="0.3">
      <c r="B59" s="81">
        <v>300000</v>
      </c>
      <c r="C59" s="80">
        <f>C58*$B59/12</f>
        <v>0</v>
      </c>
      <c r="D59" s="80">
        <f t="shared" ref="D59" si="259">D58*$B59/12</f>
        <v>0</v>
      </c>
      <c r="E59" s="80">
        <f t="shared" ref="E59" si="260">E58*$B59/12</f>
        <v>5000</v>
      </c>
      <c r="F59" s="80">
        <f t="shared" ref="F59" si="261">F58*$B59/12</f>
        <v>5000</v>
      </c>
      <c r="G59" s="80">
        <f t="shared" ref="G59" si="262">G58*$B59/12</f>
        <v>5000</v>
      </c>
      <c r="H59" s="80">
        <f t="shared" ref="H59" si="263">H58*$B59/12</f>
        <v>5000</v>
      </c>
      <c r="I59" s="80">
        <f t="shared" ref="I59" si="264">I58*$B59/12</f>
        <v>5000</v>
      </c>
      <c r="J59" s="80">
        <f t="shared" ref="J59" si="265">J58*$B59/12</f>
        <v>5000</v>
      </c>
      <c r="K59" s="80">
        <f t="shared" ref="K59" si="266">K58*$B59/12</f>
        <v>5000</v>
      </c>
      <c r="L59" s="80">
        <f t="shared" ref="L59" si="267">L58*$B59/12</f>
        <v>5000</v>
      </c>
      <c r="M59" s="80">
        <f t="shared" ref="M59" si="268">M58*$B59/12</f>
        <v>5000</v>
      </c>
      <c r="N59" s="80">
        <f t="shared" ref="N59" si="269">N58*$B59/12</f>
        <v>5000</v>
      </c>
      <c r="O59" s="80">
        <f t="shared" ref="O59" si="270">O58*$B59/12</f>
        <v>5000</v>
      </c>
    </row>
    <row r="60" spans="1:26" x14ac:dyDescent="0.3">
      <c r="A60" s="23" t="s">
        <v>29</v>
      </c>
      <c r="B60" s="23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s="24" customFormat="1" x14ac:dyDescent="0.3">
      <c r="B61" s="81"/>
      <c r="C61" s="80">
        <f>C60*$B61/12</f>
        <v>0</v>
      </c>
      <c r="D61" s="80">
        <f t="shared" ref="D61" si="271">D60*$B61/12</f>
        <v>0</v>
      </c>
      <c r="E61" s="80">
        <f t="shared" ref="E61" si="272">E60*$B61/12</f>
        <v>0</v>
      </c>
      <c r="F61" s="80">
        <f t="shared" ref="F61" si="273">F60*$B61/12</f>
        <v>0</v>
      </c>
      <c r="G61" s="80">
        <f t="shared" ref="G61" si="274">G60*$B61/12</f>
        <v>0</v>
      </c>
      <c r="H61" s="80">
        <f t="shared" ref="H61" si="275">H60*$B61/12</f>
        <v>0</v>
      </c>
      <c r="I61" s="80">
        <f t="shared" ref="I61" si="276">I60*$B61/12</f>
        <v>0</v>
      </c>
      <c r="J61" s="80">
        <f t="shared" ref="J61" si="277">J60*$B61/12</f>
        <v>0</v>
      </c>
      <c r="K61" s="80">
        <f t="shared" ref="K61" si="278">K60*$B61/12</f>
        <v>0</v>
      </c>
      <c r="L61" s="80">
        <f t="shared" ref="L61" si="279">L60*$B61/12</f>
        <v>0</v>
      </c>
      <c r="M61" s="80">
        <f t="shared" ref="M61" si="280">M60*$B61/12</f>
        <v>0</v>
      </c>
      <c r="N61" s="80">
        <f t="shared" ref="N61" si="281">N60*$B61/12</f>
        <v>0</v>
      </c>
      <c r="O61" s="80">
        <f t="shared" ref="O61" si="282">O60*$B61/12</f>
        <v>0</v>
      </c>
    </row>
    <row r="62" spans="1:26" x14ac:dyDescent="0.3">
      <c r="A62" s="23" t="s">
        <v>30</v>
      </c>
      <c r="B62" s="23"/>
      <c r="C62" s="17"/>
      <c r="D62" s="17"/>
      <c r="E62" s="17">
        <v>0.2</v>
      </c>
      <c r="F62" s="17">
        <v>0.2</v>
      </c>
      <c r="G62" s="17">
        <v>0.2</v>
      </c>
      <c r="H62" s="17">
        <v>0.2</v>
      </c>
      <c r="I62" s="17">
        <v>0.2</v>
      </c>
      <c r="J62" s="17">
        <v>0.2</v>
      </c>
      <c r="K62" s="17">
        <v>0.2</v>
      </c>
      <c r="L62" s="17">
        <v>0.2</v>
      </c>
      <c r="M62" s="17">
        <v>0.2</v>
      </c>
      <c r="N62" s="17">
        <v>0.2</v>
      </c>
      <c r="O62" s="17">
        <v>0.2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s="24" customFormat="1" x14ac:dyDescent="0.3">
      <c r="B63" s="81">
        <v>144000</v>
      </c>
      <c r="C63" s="80">
        <f>C62*$B63/12</f>
        <v>0</v>
      </c>
      <c r="D63" s="80">
        <f t="shared" ref="D63" si="283">D62*$B63/12</f>
        <v>0</v>
      </c>
      <c r="E63" s="80">
        <f t="shared" ref="E63" si="284">E62*$B63/12</f>
        <v>2400</v>
      </c>
      <c r="F63" s="80">
        <f t="shared" ref="F63" si="285">F62*$B63/12</f>
        <v>2400</v>
      </c>
      <c r="G63" s="80">
        <f t="shared" ref="G63" si="286">G62*$B63/12</f>
        <v>2400</v>
      </c>
      <c r="H63" s="80">
        <f t="shared" ref="H63" si="287">H62*$B63/12</f>
        <v>2400</v>
      </c>
      <c r="I63" s="80">
        <f t="shared" ref="I63" si="288">I62*$B63/12</f>
        <v>2400</v>
      </c>
      <c r="J63" s="80">
        <f t="shared" ref="J63" si="289">J62*$B63/12</f>
        <v>2400</v>
      </c>
      <c r="K63" s="80">
        <f t="shared" ref="K63" si="290">K62*$B63/12</f>
        <v>2400</v>
      </c>
      <c r="L63" s="80">
        <f t="shared" ref="L63" si="291">L62*$B63/12</f>
        <v>2400</v>
      </c>
      <c r="M63" s="80">
        <f t="shared" ref="M63" si="292">M62*$B63/12</f>
        <v>2400</v>
      </c>
      <c r="N63" s="80">
        <f t="shared" ref="N63" si="293">N62*$B63/12</f>
        <v>2400</v>
      </c>
      <c r="O63" s="80">
        <f t="shared" ref="O63" si="294">O62*$B63/12</f>
        <v>2400</v>
      </c>
    </row>
    <row r="64" spans="1:26" x14ac:dyDescent="0.3">
      <c r="A64" s="72" t="s">
        <v>31</v>
      </c>
      <c r="B64" s="23"/>
      <c r="C64" s="17">
        <v>0.5</v>
      </c>
      <c r="D64" s="17">
        <v>0.5</v>
      </c>
      <c r="E64" s="17">
        <v>0.5</v>
      </c>
      <c r="F64" s="17">
        <v>0.5</v>
      </c>
      <c r="G64" s="17">
        <v>0.5</v>
      </c>
      <c r="H64" s="17">
        <v>0.5</v>
      </c>
      <c r="I64" s="17">
        <v>0.5</v>
      </c>
      <c r="J64" s="17">
        <v>0.5</v>
      </c>
      <c r="K64" s="17">
        <v>0.5</v>
      </c>
      <c r="L64" s="17">
        <v>0.5</v>
      </c>
      <c r="M64" s="17">
        <v>0.5</v>
      </c>
      <c r="N64" s="17">
        <v>0.5</v>
      </c>
      <c r="O64" s="17">
        <v>0.5</v>
      </c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s="24" customFormat="1" x14ac:dyDescent="0.3">
      <c r="B65" s="81">
        <v>96000</v>
      </c>
      <c r="C65" s="80">
        <f>C64*$B65/12</f>
        <v>4000</v>
      </c>
      <c r="D65" s="80">
        <f t="shared" ref="D65" si="295">D64*$B65/12</f>
        <v>4000</v>
      </c>
      <c r="E65" s="80">
        <f t="shared" ref="E65" si="296">E64*$B65/12</f>
        <v>4000</v>
      </c>
      <c r="F65" s="80">
        <f t="shared" ref="F65" si="297">F64*$B65/12</f>
        <v>4000</v>
      </c>
      <c r="G65" s="80">
        <f t="shared" ref="G65" si="298">G64*$B65/12</f>
        <v>4000</v>
      </c>
      <c r="H65" s="80">
        <f t="shared" ref="H65" si="299">H64*$B65/12</f>
        <v>4000</v>
      </c>
      <c r="I65" s="80">
        <f t="shared" ref="I65" si="300">I64*$B65/12</f>
        <v>4000</v>
      </c>
      <c r="J65" s="80">
        <f t="shared" ref="J65" si="301">J64*$B65/12</f>
        <v>4000</v>
      </c>
      <c r="K65" s="80">
        <f t="shared" ref="K65" si="302">K64*$B65/12</f>
        <v>4000</v>
      </c>
      <c r="L65" s="80">
        <f t="shared" ref="L65" si="303">L64*$B65/12</f>
        <v>4000</v>
      </c>
      <c r="M65" s="80">
        <f t="shared" ref="M65" si="304">M64*$B65/12</f>
        <v>4000</v>
      </c>
      <c r="N65" s="80">
        <f t="shared" ref="N65" si="305">N64*$B65/12</f>
        <v>4000</v>
      </c>
      <c r="O65" s="80">
        <f t="shared" ref="O65" si="306">O64*$B65/12</f>
        <v>4000</v>
      </c>
    </row>
    <row r="66" spans="1:26" x14ac:dyDescent="0.3">
      <c r="A66" s="23" t="s">
        <v>32</v>
      </c>
      <c r="B66" s="23"/>
      <c r="C66" s="18"/>
      <c r="D66" s="17"/>
      <c r="E66" s="17"/>
      <c r="F66" s="17"/>
      <c r="G66" s="17"/>
      <c r="H66" s="17"/>
      <c r="I66" s="17">
        <v>1</v>
      </c>
      <c r="J66" s="17">
        <v>1</v>
      </c>
      <c r="K66" s="17">
        <v>1</v>
      </c>
      <c r="L66" s="17">
        <v>1</v>
      </c>
      <c r="M66" s="17">
        <v>1</v>
      </c>
      <c r="N66" s="17">
        <v>1</v>
      </c>
      <c r="O66" s="17">
        <v>1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s="24" customFormat="1" x14ac:dyDescent="0.3">
      <c r="B67" s="81">
        <v>150000</v>
      </c>
      <c r="C67" s="80">
        <f>C66*$B67/12</f>
        <v>0</v>
      </c>
      <c r="D67" s="80">
        <f t="shared" ref="D67" si="307">D66*$B67/12</f>
        <v>0</v>
      </c>
      <c r="E67" s="80">
        <f t="shared" ref="E67" si="308">E66*$B67/12</f>
        <v>0</v>
      </c>
      <c r="F67" s="80">
        <f t="shared" ref="F67" si="309">F66*$B67/12</f>
        <v>0</v>
      </c>
      <c r="G67" s="80">
        <f t="shared" ref="G67" si="310">G66*$B67/12</f>
        <v>0</v>
      </c>
      <c r="H67" s="80">
        <f t="shared" ref="H67" si="311">H66*$B67/12</f>
        <v>0</v>
      </c>
      <c r="I67" s="80">
        <f t="shared" ref="I67" si="312">I66*$B67/12</f>
        <v>12500</v>
      </c>
      <c r="J67" s="80">
        <f t="shared" ref="J67" si="313">J66*$B67/12</f>
        <v>12500</v>
      </c>
      <c r="K67" s="80">
        <f t="shared" ref="K67" si="314">K66*$B67/12</f>
        <v>12500</v>
      </c>
      <c r="L67" s="80">
        <f t="shared" ref="L67" si="315">L66*$B67/12</f>
        <v>12500</v>
      </c>
      <c r="M67" s="80">
        <f t="shared" ref="M67" si="316">M66*$B67/12</f>
        <v>12500</v>
      </c>
      <c r="N67" s="80">
        <f t="shared" ref="N67" si="317">N66*$B67/12</f>
        <v>12500</v>
      </c>
      <c r="O67" s="80">
        <f t="shared" ref="O67" si="318">O66*$B67/12</f>
        <v>12500</v>
      </c>
    </row>
    <row r="68" spans="1:26" s="24" customFormat="1" x14ac:dyDescent="0.3">
      <c r="A68" s="26" t="s">
        <v>121</v>
      </c>
      <c r="B68" s="26"/>
      <c r="C68" s="45">
        <f>C54+C56+C58+C60+C62+C64+C66</f>
        <v>1.3</v>
      </c>
      <c r="D68" s="45">
        <f t="shared" ref="D68:O68" si="319">D54+D56+D58+D60+D62+D64+D66</f>
        <v>1.25</v>
      </c>
      <c r="E68" s="45">
        <f t="shared" si="319"/>
        <v>1.65</v>
      </c>
      <c r="F68" s="45">
        <f t="shared" si="319"/>
        <v>1.65</v>
      </c>
      <c r="G68" s="45">
        <f t="shared" si="319"/>
        <v>1.65</v>
      </c>
      <c r="H68" s="45">
        <f t="shared" si="319"/>
        <v>1.65</v>
      </c>
      <c r="I68" s="45">
        <f t="shared" si="319"/>
        <v>2.65</v>
      </c>
      <c r="J68" s="45">
        <f t="shared" si="319"/>
        <v>2.65</v>
      </c>
      <c r="K68" s="45">
        <f t="shared" si="319"/>
        <v>2.65</v>
      </c>
      <c r="L68" s="45">
        <f t="shared" si="319"/>
        <v>2.65</v>
      </c>
      <c r="M68" s="45">
        <f t="shared" si="319"/>
        <v>2.65</v>
      </c>
      <c r="N68" s="45">
        <f t="shared" si="319"/>
        <v>2.65</v>
      </c>
      <c r="O68" s="45">
        <f t="shared" si="319"/>
        <v>2.65</v>
      </c>
    </row>
    <row r="69" spans="1:26" x14ac:dyDescent="0.3">
      <c r="A69" s="26" t="s">
        <v>178</v>
      </c>
      <c r="C69" s="83">
        <f>C55+C57+C59+C61+C63+C65+C67</f>
        <v>9187.5</v>
      </c>
      <c r="D69" s="83">
        <f t="shared" ref="D69:O69" si="320">D55+D57+D59+D61+D63+D65+D67</f>
        <v>8729.1666666666661</v>
      </c>
      <c r="E69" s="83">
        <f t="shared" si="320"/>
        <v>16129.166666666666</v>
      </c>
      <c r="F69" s="83">
        <f t="shared" si="320"/>
        <v>16129.166666666666</v>
      </c>
      <c r="G69" s="83">
        <f t="shared" si="320"/>
        <v>16129.166666666666</v>
      </c>
      <c r="H69" s="83">
        <f t="shared" si="320"/>
        <v>16129.166666666666</v>
      </c>
      <c r="I69" s="83">
        <f t="shared" si="320"/>
        <v>28629.166666666664</v>
      </c>
      <c r="J69" s="83">
        <f t="shared" si="320"/>
        <v>28629.166666666664</v>
      </c>
      <c r="K69" s="83">
        <f t="shared" si="320"/>
        <v>28629.166666666664</v>
      </c>
      <c r="L69" s="83">
        <f t="shared" si="320"/>
        <v>28629.166666666664</v>
      </c>
      <c r="M69" s="83">
        <f t="shared" si="320"/>
        <v>28629.166666666664</v>
      </c>
      <c r="N69" s="83">
        <f t="shared" si="320"/>
        <v>28629.166666666664</v>
      </c>
      <c r="O69" s="83">
        <f t="shared" si="320"/>
        <v>28629.166666666664</v>
      </c>
    </row>
    <row r="70" spans="1:26" x14ac:dyDescent="0.3"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</row>
    <row r="71" spans="1:26" x14ac:dyDescent="0.3">
      <c r="A71" s="1" t="s">
        <v>115</v>
      </c>
      <c r="B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3">
      <c r="A72" s="23" t="s">
        <v>40</v>
      </c>
      <c r="B72" s="23"/>
      <c r="C72" s="17">
        <v>1</v>
      </c>
      <c r="D72" s="17">
        <v>1</v>
      </c>
      <c r="E72" s="17">
        <v>1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s="24" customFormat="1" x14ac:dyDescent="0.3">
      <c r="B73" s="80">
        <v>75000</v>
      </c>
      <c r="C73" s="80">
        <f>C72*$B73/12</f>
        <v>6250</v>
      </c>
      <c r="D73" s="80">
        <f t="shared" ref="D73" si="321">D72*$B73/12</f>
        <v>6250</v>
      </c>
      <c r="E73" s="80">
        <f t="shared" ref="E73" si="322">E72*$B73/12</f>
        <v>6250</v>
      </c>
      <c r="F73" s="80">
        <f t="shared" ref="F73" si="323">F72*$B73/12</f>
        <v>0</v>
      </c>
      <c r="G73" s="80">
        <f t="shared" ref="G73" si="324">G72*$B73/12</f>
        <v>0</v>
      </c>
      <c r="H73" s="80">
        <f t="shared" ref="H73" si="325">H72*$B73/12</f>
        <v>0</v>
      </c>
      <c r="I73" s="80">
        <f t="shared" ref="I73" si="326">I72*$B73/12</f>
        <v>0</v>
      </c>
      <c r="J73" s="80">
        <f t="shared" ref="J73" si="327">J72*$B73/12</f>
        <v>0</v>
      </c>
      <c r="K73" s="80">
        <f t="shared" ref="K73" si="328">K72*$B73/12</f>
        <v>0</v>
      </c>
      <c r="L73" s="80">
        <f t="shared" ref="L73" si="329">L72*$B73/12</f>
        <v>0</v>
      </c>
      <c r="M73" s="80">
        <f t="shared" ref="M73" si="330">M72*$B73/12</f>
        <v>0</v>
      </c>
      <c r="N73" s="80">
        <f t="shared" ref="N73" si="331">N72*$B73/12</f>
        <v>0</v>
      </c>
      <c r="O73" s="80">
        <f t="shared" ref="O73" si="332">O72*$B73/12</f>
        <v>0</v>
      </c>
    </row>
    <row r="74" spans="1:26" x14ac:dyDescent="0.3">
      <c r="A74" s="72" t="s">
        <v>127</v>
      </c>
      <c r="B74" s="23"/>
      <c r="C74" s="17">
        <v>0.5</v>
      </c>
      <c r="D74" s="17">
        <v>0.5</v>
      </c>
      <c r="E74" s="17">
        <v>0.5</v>
      </c>
      <c r="F74" s="17">
        <v>0.5</v>
      </c>
      <c r="G74" s="17">
        <v>0.5</v>
      </c>
      <c r="H74" s="17">
        <v>0.5</v>
      </c>
      <c r="I74" s="17">
        <v>0.5</v>
      </c>
      <c r="J74" s="17">
        <v>0.5</v>
      </c>
      <c r="K74" s="17">
        <v>0.5</v>
      </c>
      <c r="L74" s="17">
        <v>0.5</v>
      </c>
      <c r="M74" s="17">
        <v>0.5</v>
      </c>
      <c r="N74" s="17">
        <v>0.5</v>
      </c>
      <c r="O74" s="17">
        <v>0.5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s="24" customFormat="1" x14ac:dyDescent="0.3">
      <c r="B75" s="81">
        <v>96000</v>
      </c>
      <c r="C75" s="80">
        <f>C74*$B75/12</f>
        <v>4000</v>
      </c>
      <c r="D75" s="80">
        <f t="shared" ref="D75" si="333">D74*$B75/12</f>
        <v>4000</v>
      </c>
      <c r="E75" s="80">
        <f t="shared" ref="E75" si="334">E74*$B75/12</f>
        <v>4000</v>
      </c>
      <c r="F75" s="80">
        <f t="shared" ref="F75" si="335">F74*$B75/12</f>
        <v>4000</v>
      </c>
      <c r="G75" s="80">
        <f t="shared" ref="G75" si="336">G74*$B75/12</f>
        <v>4000</v>
      </c>
      <c r="H75" s="80">
        <f t="shared" ref="H75" si="337">H74*$B75/12</f>
        <v>4000</v>
      </c>
      <c r="I75" s="80">
        <f t="shared" ref="I75" si="338">I74*$B75/12</f>
        <v>4000</v>
      </c>
      <c r="J75" s="80">
        <f t="shared" ref="J75" si="339">J74*$B75/12</f>
        <v>4000</v>
      </c>
      <c r="K75" s="80">
        <f t="shared" ref="K75" si="340">K74*$B75/12</f>
        <v>4000</v>
      </c>
      <c r="L75" s="80">
        <f t="shared" ref="L75" si="341">L74*$B75/12</f>
        <v>4000</v>
      </c>
      <c r="M75" s="80">
        <f t="shared" ref="M75" si="342">M74*$B75/12</f>
        <v>4000</v>
      </c>
      <c r="N75" s="80">
        <f t="shared" ref="N75" si="343">N74*$B75/12</f>
        <v>4000</v>
      </c>
      <c r="O75" s="80">
        <f t="shared" ref="O75" si="344">O74*$B75/12</f>
        <v>4000</v>
      </c>
    </row>
    <row r="76" spans="1:26" x14ac:dyDescent="0.3">
      <c r="A76" s="23" t="s">
        <v>41</v>
      </c>
      <c r="B76" s="23"/>
      <c r="C76" s="17">
        <v>1</v>
      </c>
      <c r="D76" s="17">
        <v>1</v>
      </c>
      <c r="E76" s="17">
        <v>1</v>
      </c>
      <c r="F76" s="17">
        <v>1</v>
      </c>
      <c r="G76" s="17">
        <v>1</v>
      </c>
      <c r="H76" s="17">
        <v>1</v>
      </c>
      <c r="I76" s="17">
        <v>1</v>
      </c>
      <c r="J76" s="17">
        <v>1</v>
      </c>
      <c r="K76" s="17">
        <v>1</v>
      </c>
      <c r="L76" s="17">
        <v>1</v>
      </c>
      <c r="M76" s="17">
        <v>1</v>
      </c>
      <c r="N76" s="17">
        <v>1</v>
      </c>
      <c r="O76" s="17">
        <v>1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s="24" customFormat="1" x14ac:dyDescent="0.3">
      <c r="B77" s="81">
        <f>16000*12</f>
        <v>192000</v>
      </c>
      <c r="C77" s="80">
        <f>C76*$B77/12</f>
        <v>16000</v>
      </c>
      <c r="D77" s="80">
        <f t="shared" ref="D77" si="345">D76*$B77/12</f>
        <v>16000</v>
      </c>
      <c r="E77" s="80">
        <f t="shared" ref="E77" si="346">E76*$B77/12</f>
        <v>16000</v>
      </c>
      <c r="F77" s="80">
        <f t="shared" ref="F77" si="347">F76*$B77/12</f>
        <v>16000</v>
      </c>
      <c r="G77" s="80">
        <f t="shared" ref="G77" si="348">G76*$B77/12</f>
        <v>16000</v>
      </c>
      <c r="H77" s="80">
        <f t="shared" ref="H77" si="349">H76*$B77/12</f>
        <v>16000</v>
      </c>
      <c r="I77" s="80">
        <f t="shared" ref="I77" si="350">I76*$B77/12</f>
        <v>16000</v>
      </c>
      <c r="J77" s="80">
        <f t="shared" ref="J77" si="351">J76*$B77/12</f>
        <v>16000</v>
      </c>
      <c r="K77" s="80">
        <f t="shared" ref="K77" si="352">K76*$B77/12</f>
        <v>16000</v>
      </c>
      <c r="L77" s="80">
        <f t="shared" ref="L77" si="353">L76*$B77/12</f>
        <v>16000</v>
      </c>
      <c r="M77" s="80">
        <f t="shared" ref="M77" si="354">M76*$B77/12</f>
        <v>16000</v>
      </c>
      <c r="N77" s="80">
        <f t="shared" ref="N77" si="355">N76*$B77/12</f>
        <v>16000</v>
      </c>
      <c r="O77" s="80">
        <f t="shared" ref="O77" si="356">O76*$B77/12</f>
        <v>16000</v>
      </c>
    </row>
    <row r="78" spans="1:26" s="24" customFormat="1" x14ac:dyDescent="0.3">
      <c r="A78" s="26" t="s">
        <v>122</v>
      </c>
      <c r="B78" s="26"/>
      <c r="C78" s="45">
        <f>C72+C74+C76</f>
        <v>2.5</v>
      </c>
      <c r="D78" s="45">
        <f t="shared" ref="D78:O78" si="357">D72+D74+D76</f>
        <v>2.5</v>
      </c>
      <c r="E78" s="45">
        <f t="shared" si="357"/>
        <v>2.5</v>
      </c>
      <c r="F78" s="45">
        <f t="shared" si="357"/>
        <v>1.5</v>
      </c>
      <c r="G78" s="45">
        <f t="shared" si="357"/>
        <v>1.5</v>
      </c>
      <c r="H78" s="45">
        <f t="shared" si="357"/>
        <v>1.5</v>
      </c>
      <c r="I78" s="45">
        <f t="shared" si="357"/>
        <v>1.5</v>
      </c>
      <c r="J78" s="45">
        <f t="shared" si="357"/>
        <v>1.5</v>
      </c>
      <c r="K78" s="45">
        <f t="shared" si="357"/>
        <v>1.5</v>
      </c>
      <c r="L78" s="45">
        <f t="shared" si="357"/>
        <v>1.5</v>
      </c>
      <c r="M78" s="45">
        <f t="shared" si="357"/>
        <v>1.5</v>
      </c>
      <c r="N78" s="45">
        <f t="shared" si="357"/>
        <v>1.5</v>
      </c>
      <c r="O78" s="45">
        <f t="shared" si="357"/>
        <v>1.5</v>
      </c>
    </row>
    <row r="79" spans="1:26" x14ac:dyDescent="0.3">
      <c r="C79" s="83">
        <f>C73+C75+C77</f>
        <v>26250</v>
      </c>
      <c r="D79" s="83">
        <f t="shared" ref="D79:O79" si="358">D73+D75+D77</f>
        <v>26250</v>
      </c>
      <c r="E79" s="83">
        <f t="shared" si="358"/>
        <v>26250</v>
      </c>
      <c r="F79" s="83">
        <f t="shared" si="358"/>
        <v>20000</v>
      </c>
      <c r="G79" s="83">
        <f t="shared" si="358"/>
        <v>20000</v>
      </c>
      <c r="H79" s="83">
        <f t="shared" si="358"/>
        <v>20000</v>
      </c>
      <c r="I79" s="83">
        <f t="shared" si="358"/>
        <v>20000</v>
      </c>
      <c r="J79" s="83">
        <f t="shared" si="358"/>
        <v>20000</v>
      </c>
      <c r="K79" s="83">
        <f t="shared" si="358"/>
        <v>20000</v>
      </c>
      <c r="L79" s="83">
        <f t="shared" si="358"/>
        <v>20000</v>
      </c>
      <c r="M79" s="83">
        <f t="shared" si="358"/>
        <v>20000</v>
      </c>
      <c r="N79" s="83">
        <f t="shared" si="358"/>
        <v>20000</v>
      </c>
      <c r="O79" s="83">
        <f t="shared" si="358"/>
        <v>20000</v>
      </c>
    </row>
    <row r="80" spans="1:26" x14ac:dyDescent="0.3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x14ac:dyDescent="0.3">
      <c r="A81" s="1" t="s">
        <v>99</v>
      </c>
      <c r="B81" s="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x14ac:dyDescent="0.3">
      <c r="A82" s="74" t="s">
        <v>100</v>
      </c>
      <c r="C82" s="17">
        <v>1</v>
      </c>
      <c r="D82" s="17">
        <v>1</v>
      </c>
      <c r="E82" s="17">
        <v>1</v>
      </c>
      <c r="F82" s="17">
        <v>1</v>
      </c>
      <c r="G82" s="17">
        <v>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1</v>
      </c>
      <c r="N82" s="17">
        <v>1</v>
      </c>
      <c r="O82" s="17">
        <v>1</v>
      </c>
    </row>
    <row r="83" spans="1:15" s="24" customFormat="1" x14ac:dyDescent="0.3">
      <c r="B83" s="80">
        <v>130000</v>
      </c>
      <c r="C83" s="80">
        <f>C82*$B83/12</f>
        <v>10833.333333333334</v>
      </c>
      <c r="D83" s="80">
        <f t="shared" ref="D83" si="359">D82*$B83/12</f>
        <v>10833.333333333334</v>
      </c>
      <c r="E83" s="80">
        <f t="shared" ref="E83" si="360">E82*$B83/12</f>
        <v>10833.333333333334</v>
      </c>
      <c r="F83" s="80">
        <f t="shared" ref="F83" si="361">F82*$B83/12</f>
        <v>10833.333333333334</v>
      </c>
      <c r="G83" s="80">
        <f t="shared" ref="G83" si="362">G82*$B83/12</f>
        <v>10833.333333333334</v>
      </c>
      <c r="H83" s="80">
        <f t="shared" ref="H83" si="363">H82*$B83/12</f>
        <v>10833.333333333334</v>
      </c>
      <c r="I83" s="80">
        <f t="shared" ref="I83" si="364">I82*$B83/12</f>
        <v>10833.333333333334</v>
      </c>
      <c r="J83" s="80">
        <f t="shared" ref="J83" si="365">J82*$B83/12</f>
        <v>10833.333333333334</v>
      </c>
      <c r="K83" s="80">
        <f t="shared" ref="K83" si="366">K82*$B83/12</f>
        <v>10833.333333333334</v>
      </c>
      <c r="L83" s="80">
        <f t="shared" ref="L83" si="367">L82*$B83/12</f>
        <v>10833.333333333334</v>
      </c>
      <c r="M83" s="80">
        <f t="shared" ref="M83" si="368">M82*$B83/12</f>
        <v>10833.333333333334</v>
      </c>
      <c r="N83" s="80">
        <f t="shared" ref="N83" si="369">N82*$B83/12</f>
        <v>10833.333333333334</v>
      </c>
      <c r="O83" s="80">
        <f t="shared" ref="O83" si="370">O82*$B83/12</f>
        <v>10833.333333333334</v>
      </c>
    </row>
    <row r="84" spans="1:15" x14ac:dyDescent="0.3">
      <c r="A84" s="74" t="s">
        <v>101</v>
      </c>
      <c r="C84" s="17">
        <v>1</v>
      </c>
      <c r="D84" s="17">
        <v>1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7">
        <v>1</v>
      </c>
    </row>
    <row r="85" spans="1:15" s="24" customFormat="1" x14ac:dyDescent="0.3">
      <c r="B85" s="80">
        <v>130000</v>
      </c>
      <c r="C85" s="80">
        <f>C84*$B85/12</f>
        <v>10833.333333333334</v>
      </c>
      <c r="D85" s="80">
        <f t="shared" ref="D85" si="371">D84*$B85/12</f>
        <v>10833.333333333334</v>
      </c>
      <c r="E85" s="80">
        <f t="shared" ref="E85" si="372">E84*$B85/12</f>
        <v>10833.333333333334</v>
      </c>
      <c r="F85" s="80">
        <f t="shared" ref="F85" si="373">F84*$B85/12</f>
        <v>10833.333333333334</v>
      </c>
      <c r="G85" s="80">
        <f t="shared" ref="G85" si="374">G84*$B85/12</f>
        <v>10833.333333333334</v>
      </c>
      <c r="H85" s="80">
        <f t="shared" ref="H85" si="375">H84*$B85/12</f>
        <v>10833.333333333334</v>
      </c>
      <c r="I85" s="80">
        <f t="shared" ref="I85" si="376">I84*$B85/12</f>
        <v>10833.333333333334</v>
      </c>
      <c r="J85" s="80">
        <f t="shared" ref="J85" si="377">J84*$B85/12</f>
        <v>10833.333333333334</v>
      </c>
      <c r="K85" s="80">
        <f t="shared" ref="K85" si="378">K84*$B85/12</f>
        <v>10833.333333333334</v>
      </c>
      <c r="L85" s="80">
        <f t="shared" ref="L85" si="379">L84*$B85/12</f>
        <v>10833.333333333334</v>
      </c>
      <c r="M85" s="80">
        <f t="shared" ref="M85" si="380">M84*$B85/12</f>
        <v>10833.333333333334</v>
      </c>
      <c r="N85" s="80">
        <f t="shared" ref="N85" si="381">N84*$B85/12</f>
        <v>10833.333333333334</v>
      </c>
      <c r="O85" s="80">
        <f t="shared" ref="O85" si="382">O84*$B85/12</f>
        <v>10833.333333333334</v>
      </c>
    </row>
    <row r="86" spans="1:15" x14ac:dyDescent="0.3">
      <c r="A86" s="74" t="s">
        <v>102</v>
      </c>
      <c r="C86" s="17">
        <v>0.3</v>
      </c>
      <c r="D86" s="17">
        <v>0.3</v>
      </c>
      <c r="E86" s="17">
        <v>0.3</v>
      </c>
      <c r="F86" s="17">
        <v>1</v>
      </c>
      <c r="G86" s="17">
        <v>1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1</v>
      </c>
      <c r="N86" s="17">
        <v>1</v>
      </c>
      <c r="O86" s="17">
        <v>1</v>
      </c>
    </row>
    <row r="87" spans="1:15" s="24" customFormat="1" x14ac:dyDescent="0.3">
      <c r="B87" s="80">
        <v>297600</v>
      </c>
      <c r="C87" s="80">
        <f>C86*$B87/12</f>
        <v>7440</v>
      </c>
      <c r="D87" s="80">
        <f t="shared" ref="D87" si="383">D86*$B87/12</f>
        <v>7440</v>
      </c>
      <c r="E87" s="80">
        <f t="shared" ref="E87" si="384">E86*$B87/12</f>
        <v>7440</v>
      </c>
      <c r="F87" s="80">
        <f t="shared" ref="F87" si="385">F86*$B87/12</f>
        <v>24800</v>
      </c>
      <c r="G87" s="80">
        <f t="shared" ref="G87" si="386">G86*$B87/12</f>
        <v>24800</v>
      </c>
      <c r="H87" s="80">
        <f t="shared" ref="H87" si="387">H86*$B87/12</f>
        <v>24800</v>
      </c>
      <c r="I87" s="80">
        <f t="shared" ref="I87" si="388">I86*$B87/12</f>
        <v>24800</v>
      </c>
      <c r="J87" s="80">
        <f t="shared" ref="J87" si="389">J86*$B87/12</f>
        <v>24800</v>
      </c>
      <c r="K87" s="80">
        <f t="shared" ref="K87" si="390">K86*$B87/12</f>
        <v>24800</v>
      </c>
      <c r="L87" s="80">
        <f t="shared" ref="L87" si="391">L86*$B87/12</f>
        <v>24800</v>
      </c>
      <c r="M87" s="80">
        <f t="shared" ref="M87" si="392">M86*$B87/12</f>
        <v>24800</v>
      </c>
      <c r="N87" s="80">
        <f t="shared" ref="N87" si="393">N86*$B87/12</f>
        <v>24800</v>
      </c>
      <c r="O87" s="80">
        <f t="shared" ref="O87" si="394">O86*$B87/12</f>
        <v>24800</v>
      </c>
    </row>
    <row r="88" spans="1:15" x14ac:dyDescent="0.3">
      <c r="A88" s="74" t="s">
        <v>103</v>
      </c>
      <c r="C88" s="17"/>
      <c r="D88" s="17"/>
      <c r="E88" s="17"/>
      <c r="F88" s="17"/>
      <c r="G88" s="17">
        <v>1</v>
      </c>
      <c r="H88" s="17">
        <v>1</v>
      </c>
      <c r="I88" s="17">
        <v>1</v>
      </c>
      <c r="J88" s="17">
        <v>1</v>
      </c>
      <c r="K88" s="17">
        <v>1</v>
      </c>
      <c r="L88" s="17">
        <v>1</v>
      </c>
      <c r="M88" s="17">
        <v>1</v>
      </c>
      <c r="N88" s="17">
        <v>1</v>
      </c>
      <c r="O88" s="17">
        <v>1</v>
      </c>
    </row>
    <row r="89" spans="1:15" s="24" customFormat="1" x14ac:dyDescent="0.3">
      <c r="B89" s="81">
        <v>130000</v>
      </c>
      <c r="C89" s="80">
        <f>C88*$B89/12</f>
        <v>0</v>
      </c>
      <c r="D89" s="80">
        <f t="shared" ref="D89" si="395">D88*$B89/12</f>
        <v>0</v>
      </c>
      <c r="E89" s="80">
        <f t="shared" ref="E89" si="396">E88*$B89/12</f>
        <v>0</v>
      </c>
      <c r="F89" s="80">
        <f t="shared" ref="F89" si="397">F88*$B89/12</f>
        <v>0</v>
      </c>
      <c r="G89" s="80">
        <f t="shared" ref="G89" si="398">G88*$B89/12</f>
        <v>10833.333333333334</v>
      </c>
      <c r="H89" s="80">
        <f t="shared" ref="H89" si="399">H88*$B89/12</f>
        <v>10833.333333333334</v>
      </c>
      <c r="I89" s="80">
        <f t="shared" ref="I89" si="400">I88*$B89/12</f>
        <v>10833.333333333334</v>
      </c>
      <c r="J89" s="80">
        <f t="shared" ref="J89" si="401">J88*$B89/12</f>
        <v>10833.333333333334</v>
      </c>
      <c r="K89" s="80">
        <f t="shared" ref="K89" si="402">K88*$B89/12</f>
        <v>10833.333333333334</v>
      </c>
      <c r="L89" s="80">
        <f t="shared" ref="L89" si="403">L88*$B89/12</f>
        <v>10833.333333333334</v>
      </c>
      <c r="M89" s="80">
        <f t="shared" ref="M89" si="404">M88*$B89/12</f>
        <v>10833.333333333334</v>
      </c>
      <c r="N89" s="80">
        <f t="shared" ref="N89" si="405">N88*$B89/12</f>
        <v>10833.333333333334</v>
      </c>
      <c r="O89" s="80">
        <f t="shared" ref="O89" si="406">O88*$B89/12</f>
        <v>10833.333333333334</v>
      </c>
    </row>
    <row r="90" spans="1:15" x14ac:dyDescent="0.3">
      <c r="A90" s="74" t="s">
        <v>104</v>
      </c>
      <c r="C90" s="6"/>
      <c r="D90" s="6"/>
      <c r="E90" s="6"/>
      <c r="F90" s="6"/>
      <c r="G90" s="6"/>
      <c r="H90" s="6"/>
      <c r="I90" s="6"/>
      <c r="J90" s="6"/>
      <c r="K90" s="17"/>
      <c r="L90" s="17"/>
      <c r="M90" s="17">
        <v>1</v>
      </c>
      <c r="N90" s="17">
        <v>1</v>
      </c>
      <c r="O90" s="17">
        <v>1</v>
      </c>
    </row>
    <row r="91" spans="1:15" s="24" customFormat="1" x14ac:dyDescent="0.3">
      <c r="B91" s="81">
        <v>130000</v>
      </c>
      <c r="C91" s="80">
        <f>C90*$B91/12</f>
        <v>0</v>
      </c>
      <c r="D91" s="80">
        <f t="shared" ref="D91" si="407">D90*$B91/12</f>
        <v>0</v>
      </c>
      <c r="E91" s="80">
        <f t="shared" ref="E91" si="408">E90*$B91/12</f>
        <v>0</v>
      </c>
      <c r="F91" s="80">
        <f t="shared" ref="F91" si="409">F90*$B91/12</f>
        <v>0</v>
      </c>
      <c r="G91" s="80">
        <f t="shared" ref="G91" si="410">G90*$B91/12</f>
        <v>0</v>
      </c>
      <c r="H91" s="80">
        <f t="shared" ref="H91:J91" si="411">H90*$B91/12</f>
        <v>0</v>
      </c>
      <c r="I91" s="80">
        <f t="shared" si="411"/>
        <v>0</v>
      </c>
      <c r="J91" s="80">
        <f t="shared" si="411"/>
        <v>0</v>
      </c>
      <c r="K91" s="80">
        <f t="shared" ref="K91" si="412">K90*$B91/12</f>
        <v>0</v>
      </c>
      <c r="L91" s="80">
        <f t="shared" ref="L91" si="413">L90*$B91/12</f>
        <v>0</v>
      </c>
      <c r="M91" s="80">
        <f t="shared" ref="M91" si="414">M90*$B91/12</f>
        <v>10833.333333333334</v>
      </c>
      <c r="N91" s="80">
        <f t="shared" ref="N91" si="415">N90*$B91/12</f>
        <v>10833.333333333334</v>
      </c>
      <c r="O91" s="80">
        <f t="shared" ref="O91" si="416">O90*$B91/12</f>
        <v>10833.333333333334</v>
      </c>
    </row>
    <row r="92" spans="1:15" x14ac:dyDescent="0.3">
      <c r="A92" s="82" t="s">
        <v>158</v>
      </c>
      <c r="C92" s="6"/>
      <c r="D92" s="6"/>
      <c r="E92" s="6"/>
      <c r="F92" s="6"/>
      <c r="G92" s="6"/>
      <c r="H92" s="6"/>
      <c r="I92" s="6"/>
      <c r="J92" s="6"/>
      <c r="K92" s="17"/>
      <c r="L92" s="17"/>
      <c r="M92" s="17"/>
      <c r="N92" s="17">
        <v>1</v>
      </c>
      <c r="O92" s="17">
        <v>1</v>
      </c>
    </row>
    <row r="93" spans="1:15" s="24" customFormat="1" x14ac:dyDescent="0.3">
      <c r="B93" s="81">
        <v>130000</v>
      </c>
      <c r="C93" s="80">
        <f>C92*$B93/12</f>
        <v>0</v>
      </c>
      <c r="D93" s="80">
        <f t="shared" ref="D93" si="417">D92*$B93/12</f>
        <v>0</v>
      </c>
      <c r="E93" s="80">
        <f t="shared" ref="E93" si="418">E92*$B93/12</f>
        <v>0</v>
      </c>
      <c r="F93" s="80">
        <f t="shared" ref="F93" si="419">F92*$B93/12</f>
        <v>0</v>
      </c>
      <c r="G93" s="80">
        <f t="shared" ref="G93" si="420">G92*$B93/12</f>
        <v>0</v>
      </c>
      <c r="H93" s="80">
        <f t="shared" ref="H93" si="421">H92*$B93/12</f>
        <v>0</v>
      </c>
      <c r="I93" s="80">
        <f t="shared" ref="I93" si="422">I92*$B93/12</f>
        <v>0</v>
      </c>
      <c r="J93" s="80">
        <f t="shared" ref="J93" si="423">J92*$B93/12</f>
        <v>0</v>
      </c>
      <c r="K93" s="80">
        <f t="shared" ref="K93" si="424">K92*$B93/12</f>
        <v>0</v>
      </c>
      <c r="L93" s="80">
        <f t="shared" ref="L93" si="425">L92*$B93/12</f>
        <v>0</v>
      </c>
      <c r="M93" s="80">
        <f t="shared" ref="M93" si="426">M92*$B93/12</f>
        <v>0</v>
      </c>
      <c r="N93" s="80">
        <f t="shared" ref="N93" si="427">N92*$B93/12</f>
        <v>10833.333333333334</v>
      </c>
      <c r="O93" s="80">
        <f t="shared" ref="O93" si="428">O92*$B93/12</f>
        <v>10833.333333333334</v>
      </c>
    </row>
    <row r="94" spans="1:15" x14ac:dyDescent="0.3">
      <c r="A94" s="82" t="s">
        <v>158</v>
      </c>
      <c r="C94" s="6"/>
      <c r="D94" s="6"/>
      <c r="E94" s="6"/>
      <c r="F94" s="6"/>
      <c r="G94" s="6"/>
      <c r="H94" s="6"/>
      <c r="I94" s="6"/>
      <c r="J94" s="6"/>
      <c r="K94" s="17">
        <v>1</v>
      </c>
      <c r="L94" s="17">
        <v>1</v>
      </c>
      <c r="M94" s="17">
        <v>1</v>
      </c>
      <c r="N94" s="17">
        <v>1</v>
      </c>
      <c r="O94" s="17">
        <v>1</v>
      </c>
    </row>
    <row r="95" spans="1:15" s="24" customFormat="1" x14ac:dyDescent="0.3">
      <c r="B95" s="81">
        <v>130000</v>
      </c>
      <c r="C95" s="80">
        <f>C94*$B95/12</f>
        <v>0</v>
      </c>
      <c r="D95" s="80">
        <f t="shared" ref="D95" si="429">D94*$B95/12</f>
        <v>0</v>
      </c>
      <c r="E95" s="80">
        <f t="shared" ref="E95" si="430">E94*$B95/12</f>
        <v>0</v>
      </c>
      <c r="F95" s="80">
        <f t="shared" ref="F95" si="431">F94*$B95/12</f>
        <v>0</v>
      </c>
      <c r="G95" s="80">
        <f t="shared" ref="G95" si="432">G94*$B95/12</f>
        <v>0</v>
      </c>
      <c r="H95" s="80">
        <f t="shared" ref="H95" si="433">H94*$B95/12</f>
        <v>0</v>
      </c>
      <c r="I95" s="80">
        <f t="shared" ref="I95" si="434">I94*$B95/12</f>
        <v>0</v>
      </c>
      <c r="J95" s="80">
        <f t="shared" ref="J95" si="435">J94*$B95/12</f>
        <v>0</v>
      </c>
      <c r="K95" s="80">
        <f t="shared" ref="K95" si="436">K94*$B95/12</f>
        <v>10833.333333333334</v>
      </c>
      <c r="L95" s="80">
        <f t="shared" ref="L95" si="437">L94*$B95/12</f>
        <v>10833.333333333334</v>
      </c>
      <c r="M95" s="80">
        <f t="shared" ref="M95" si="438">M94*$B95/12</f>
        <v>10833.333333333334</v>
      </c>
      <c r="N95" s="80">
        <f t="shared" ref="N95" si="439">N94*$B95/12</f>
        <v>10833.333333333334</v>
      </c>
      <c r="O95" s="80">
        <f t="shared" ref="O95" si="440">O94*$B95/12</f>
        <v>10833.333333333334</v>
      </c>
    </row>
    <row r="96" spans="1:15" x14ac:dyDescent="0.3">
      <c r="A96" s="74" t="s">
        <v>105</v>
      </c>
      <c r="C96" s="6"/>
      <c r="D96" s="6"/>
      <c r="E96" s="6"/>
      <c r="F96" s="6"/>
      <c r="G96" s="6"/>
      <c r="H96" s="17">
        <v>1</v>
      </c>
      <c r="I96" s="17">
        <v>1</v>
      </c>
      <c r="J96" s="17">
        <v>1</v>
      </c>
      <c r="K96" s="17">
        <v>1</v>
      </c>
      <c r="L96" s="17">
        <v>1</v>
      </c>
      <c r="M96" s="17">
        <v>1</v>
      </c>
      <c r="N96" s="17">
        <v>1</v>
      </c>
      <c r="O96" s="17">
        <v>1</v>
      </c>
    </row>
    <row r="97" spans="1:15" s="24" customFormat="1" x14ac:dyDescent="0.3">
      <c r="B97" s="81">
        <v>180000</v>
      </c>
      <c r="C97" s="80">
        <f>C96*$B97/12</f>
        <v>0</v>
      </c>
      <c r="D97" s="80">
        <f t="shared" ref="D97" si="441">D96*$B97/12</f>
        <v>0</v>
      </c>
      <c r="E97" s="80">
        <f t="shared" ref="E97" si="442">E96*$B97/12</f>
        <v>0</v>
      </c>
      <c r="F97" s="80">
        <f t="shared" ref="F97" si="443">F96*$B97/12</f>
        <v>0</v>
      </c>
      <c r="G97" s="80">
        <f t="shared" ref="G97" si="444">G96*$B97/12</f>
        <v>0</v>
      </c>
      <c r="H97" s="80">
        <f t="shared" ref="H97" si="445">H96*$B97/12</f>
        <v>15000</v>
      </c>
      <c r="I97" s="80">
        <f t="shared" ref="I97" si="446">I96*$B97/12</f>
        <v>15000</v>
      </c>
      <c r="J97" s="80">
        <f t="shared" ref="J97" si="447">J96*$B97/12</f>
        <v>15000</v>
      </c>
      <c r="K97" s="80">
        <f t="shared" ref="K97" si="448">K96*$B97/12</f>
        <v>15000</v>
      </c>
      <c r="L97" s="80">
        <f t="shared" ref="L97" si="449">L96*$B97/12</f>
        <v>15000</v>
      </c>
      <c r="M97" s="80">
        <f t="shared" ref="M97" si="450">M96*$B97/12</f>
        <v>15000</v>
      </c>
      <c r="N97" s="80">
        <f t="shared" ref="N97" si="451">N96*$B97/12</f>
        <v>15000</v>
      </c>
      <c r="O97" s="80">
        <f t="shared" ref="O97" si="452">O96*$B97/12</f>
        <v>15000</v>
      </c>
    </row>
    <row r="98" spans="1:15" s="24" customFormat="1" x14ac:dyDescent="0.3">
      <c r="A98" s="26" t="s">
        <v>145</v>
      </c>
      <c r="B98" s="26"/>
      <c r="C98" s="45">
        <f>C82+C84+C86+C88+C90+C92+C94+C96</f>
        <v>2.2999999999999998</v>
      </c>
      <c r="D98" s="45">
        <f t="shared" ref="D98:O98" si="453">D82+D84+D86+D88+D90+D92+D94+D96</f>
        <v>2.2999999999999998</v>
      </c>
      <c r="E98" s="45">
        <f t="shared" si="453"/>
        <v>2.2999999999999998</v>
      </c>
      <c r="F98" s="45">
        <f t="shared" si="453"/>
        <v>3</v>
      </c>
      <c r="G98" s="45">
        <f t="shared" si="453"/>
        <v>4</v>
      </c>
      <c r="H98" s="45">
        <f t="shared" si="453"/>
        <v>5</v>
      </c>
      <c r="I98" s="45">
        <f t="shared" si="453"/>
        <v>5</v>
      </c>
      <c r="J98" s="45">
        <f t="shared" si="453"/>
        <v>5</v>
      </c>
      <c r="K98" s="45">
        <f t="shared" si="453"/>
        <v>6</v>
      </c>
      <c r="L98" s="45">
        <f t="shared" si="453"/>
        <v>6</v>
      </c>
      <c r="M98" s="45">
        <f t="shared" si="453"/>
        <v>7</v>
      </c>
      <c r="N98" s="45">
        <f t="shared" si="453"/>
        <v>8</v>
      </c>
      <c r="O98" s="45">
        <f t="shared" si="453"/>
        <v>8</v>
      </c>
    </row>
    <row r="99" spans="1:15" x14ac:dyDescent="0.3">
      <c r="C99" s="83">
        <f>C83+C85+C87+C89+C91+C93+C95+C97</f>
        <v>29106.666666666668</v>
      </c>
      <c r="D99" s="83">
        <f t="shared" ref="D99:O99" si="454">D83+D85+D87+D89+D91+D93+D95+D97</f>
        <v>29106.666666666668</v>
      </c>
      <c r="E99" s="83">
        <f t="shared" si="454"/>
        <v>29106.666666666668</v>
      </c>
      <c r="F99" s="83">
        <f t="shared" si="454"/>
        <v>46466.666666666672</v>
      </c>
      <c r="G99" s="83">
        <f t="shared" si="454"/>
        <v>57300.000000000007</v>
      </c>
      <c r="H99" s="83">
        <f t="shared" si="454"/>
        <v>72300</v>
      </c>
      <c r="I99" s="83">
        <f t="shared" si="454"/>
        <v>72300</v>
      </c>
      <c r="J99" s="83">
        <f t="shared" si="454"/>
        <v>72300</v>
      </c>
      <c r="K99" s="83">
        <f t="shared" si="454"/>
        <v>83133.333333333343</v>
      </c>
      <c r="L99" s="83">
        <f t="shared" si="454"/>
        <v>83133.333333333343</v>
      </c>
      <c r="M99" s="83">
        <f t="shared" si="454"/>
        <v>93966.666666666672</v>
      </c>
      <c r="N99" s="83">
        <f t="shared" si="454"/>
        <v>104800</v>
      </c>
      <c r="O99" s="83">
        <f t="shared" si="454"/>
        <v>104800</v>
      </c>
    </row>
    <row r="100" spans="1:15" x14ac:dyDescent="0.3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</row>
    <row r="101" spans="1:15" x14ac:dyDescent="0.3">
      <c r="A101" s="1" t="s">
        <v>116</v>
      </c>
    </row>
    <row r="102" spans="1:15" s="24" customFormat="1" x14ac:dyDescent="0.3">
      <c r="A102" s="24" t="s">
        <v>98</v>
      </c>
      <c r="C102" s="38">
        <v>1</v>
      </c>
      <c r="D102" s="38">
        <v>1</v>
      </c>
      <c r="E102" s="38">
        <v>1</v>
      </c>
      <c r="F102" s="38">
        <v>1</v>
      </c>
      <c r="G102" s="38">
        <v>1</v>
      </c>
      <c r="H102" s="38">
        <v>1</v>
      </c>
      <c r="I102" s="38">
        <v>1</v>
      </c>
      <c r="J102" s="38">
        <v>1</v>
      </c>
      <c r="K102" s="38">
        <v>1</v>
      </c>
      <c r="L102" s="38">
        <v>1</v>
      </c>
      <c r="M102" s="38">
        <v>1</v>
      </c>
      <c r="N102" s="38">
        <v>1</v>
      </c>
      <c r="O102" s="38">
        <v>1</v>
      </c>
    </row>
    <row r="103" spans="1:15" s="24" customFormat="1" x14ac:dyDescent="0.3">
      <c r="B103" s="80">
        <v>297600</v>
      </c>
      <c r="C103" s="80">
        <f>C102*$B103/12</f>
        <v>24800</v>
      </c>
      <c r="D103" s="80">
        <f t="shared" ref="D103" si="455">D102*$B103/12</f>
        <v>24800</v>
      </c>
      <c r="E103" s="80">
        <f t="shared" ref="E103" si="456">E102*$B103/12</f>
        <v>24800</v>
      </c>
      <c r="F103" s="80">
        <f t="shared" ref="F103" si="457">F102*$B103/12</f>
        <v>24800</v>
      </c>
      <c r="G103" s="80">
        <f t="shared" ref="G103" si="458">G102*$B103/12</f>
        <v>24800</v>
      </c>
      <c r="H103" s="80">
        <f t="shared" ref="H103" si="459">H102*$B103/12</f>
        <v>24800</v>
      </c>
      <c r="I103" s="80">
        <f t="shared" ref="I103" si="460">I102*$B103/12</f>
        <v>24800</v>
      </c>
      <c r="J103" s="80">
        <f t="shared" ref="J103" si="461">J102*$B103/12</f>
        <v>24800</v>
      </c>
      <c r="K103" s="80">
        <f t="shared" ref="K103" si="462">K102*$B103/12</f>
        <v>24800</v>
      </c>
      <c r="L103" s="80">
        <f t="shared" ref="L103" si="463">L102*$B103/12</f>
        <v>24800</v>
      </c>
      <c r="M103" s="80">
        <f t="shared" ref="M103" si="464">M102*$B103/12</f>
        <v>24800</v>
      </c>
      <c r="N103" s="80">
        <f t="shared" ref="N103" si="465">N102*$B103/12</f>
        <v>24800</v>
      </c>
      <c r="O103" s="80">
        <f t="shared" ref="O103" si="466">O102*$B103/12</f>
        <v>24800</v>
      </c>
    </row>
    <row r="104" spans="1:15" s="24" customFormat="1" x14ac:dyDescent="0.3">
      <c r="A104" s="24" t="s">
        <v>97</v>
      </c>
      <c r="C104" s="38">
        <v>0.3</v>
      </c>
      <c r="D104" s="38">
        <v>0.3</v>
      </c>
      <c r="E104" s="38">
        <v>0.3</v>
      </c>
      <c r="F104" s="38">
        <v>0.3</v>
      </c>
      <c r="G104" s="38">
        <v>0.3</v>
      </c>
      <c r="H104" s="38">
        <v>0.3</v>
      </c>
      <c r="I104" s="38">
        <v>0.3</v>
      </c>
      <c r="J104" s="38">
        <v>0.3</v>
      </c>
      <c r="K104" s="38">
        <v>0.3</v>
      </c>
      <c r="L104" s="38">
        <v>0.3</v>
      </c>
      <c r="M104" s="38">
        <v>0.3</v>
      </c>
      <c r="N104" s="38">
        <v>0.3</v>
      </c>
      <c r="O104" s="38">
        <v>0.3</v>
      </c>
    </row>
    <row r="105" spans="1:15" s="24" customFormat="1" x14ac:dyDescent="0.3">
      <c r="B105" s="80">
        <f>3200*12</f>
        <v>38400</v>
      </c>
      <c r="C105" s="80">
        <v>3200</v>
      </c>
      <c r="D105" s="80">
        <v>3200</v>
      </c>
      <c r="E105" s="80">
        <v>3200</v>
      </c>
      <c r="F105" s="80">
        <v>3200</v>
      </c>
      <c r="G105" s="80">
        <v>3200</v>
      </c>
      <c r="H105" s="80">
        <v>3200</v>
      </c>
      <c r="I105" s="80">
        <v>3200</v>
      </c>
      <c r="J105" s="80">
        <v>3200</v>
      </c>
      <c r="K105" s="80">
        <v>3200</v>
      </c>
      <c r="L105" s="80">
        <v>3200</v>
      </c>
      <c r="M105" s="80">
        <v>3200</v>
      </c>
      <c r="N105" s="80">
        <v>3200</v>
      </c>
      <c r="O105" s="80">
        <v>3200</v>
      </c>
    </row>
    <row r="106" spans="1:15" s="24" customFormat="1" x14ac:dyDescent="0.3">
      <c r="A106" s="24" t="s">
        <v>96</v>
      </c>
      <c r="C106" s="38">
        <v>1</v>
      </c>
      <c r="D106" s="38">
        <v>1</v>
      </c>
      <c r="E106" s="38">
        <v>1</v>
      </c>
      <c r="F106" s="38">
        <v>1</v>
      </c>
      <c r="G106" s="38">
        <v>1</v>
      </c>
      <c r="H106" s="38">
        <v>1</v>
      </c>
      <c r="I106" s="38">
        <v>1</v>
      </c>
      <c r="J106" s="38">
        <v>1</v>
      </c>
      <c r="K106" s="38">
        <v>1</v>
      </c>
      <c r="L106" s="38">
        <v>1</v>
      </c>
      <c r="M106" s="38">
        <v>1</v>
      </c>
      <c r="N106" s="38">
        <v>1</v>
      </c>
      <c r="O106" s="38">
        <v>1</v>
      </c>
    </row>
    <row r="107" spans="1:15" s="24" customFormat="1" x14ac:dyDescent="0.3">
      <c r="B107" s="80">
        <f>35*40*52</f>
        <v>72800</v>
      </c>
      <c r="C107" s="80">
        <f>C106*$B107/12</f>
        <v>6066.666666666667</v>
      </c>
      <c r="D107" s="80">
        <f t="shared" ref="D107" si="467">D106*$B107/12</f>
        <v>6066.666666666667</v>
      </c>
      <c r="E107" s="80">
        <f t="shared" ref="E107" si="468">E106*$B107/12</f>
        <v>6066.666666666667</v>
      </c>
      <c r="F107" s="80">
        <f t="shared" ref="F107" si="469">F106*$B107/12</f>
        <v>6066.666666666667</v>
      </c>
      <c r="G107" s="80">
        <f t="shared" ref="G107" si="470">G106*$B107/12</f>
        <v>6066.666666666667</v>
      </c>
      <c r="H107" s="80">
        <f t="shared" ref="H107" si="471">H106*$B107/12</f>
        <v>6066.666666666667</v>
      </c>
      <c r="I107" s="80">
        <f t="shared" ref="I107" si="472">I106*$B107/12</f>
        <v>6066.666666666667</v>
      </c>
      <c r="J107" s="80">
        <f t="shared" ref="J107" si="473">J106*$B107/12</f>
        <v>6066.666666666667</v>
      </c>
      <c r="K107" s="80">
        <f t="shared" ref="K107" si="474">K106*$B107/12</f>
        <v>6066.666666666667</v>
      </c>
      <c r="L107" s="80">
        <f t="shared" ref="L107" si="475">L106*$B107/12</f>
        <v>6066.666666666667</v>
      </c>
      <c r="M107" s="80">
        <f t="shared" ref="M107" si="476">M106*$B107/12</f>
        <v>6066.666666666667</v>
      </c>
      <c r="N107" s="80">
        <f t="shared" ref="N107" si="477">N106*$B107/12</f>
        <v>6066.666666666667</v>
      </c>
      <c r="O107" s="80">
        <f t="shared" ref="O107" si="478">O106*$B107/12</f>
        <v>6066.666666666667</v>
      </c>
    </row>
    <row r="108" spans="1:15" s="24" customFormat="1" x14ac:dyDescent="0.3">
      <c r="A108" s="24" t="s">
        <v>125</v>
      </c>
      <c r="C108" s="38">
        <v>1</v>
      </c>
      <c r="D108" s="38">
        <v>1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s="24" customFormat="1" x14ac:dyDescent="0.3">
      <c r="B109" s="80">
        <v>190000</v>
      </c>
      <c r="C109" s="80">
        <f>C108*$B109/12</f>
        <v>15833.333333333334</v>
      </c>
      <c r="D109" s="80">
        <f t="shared" ref="D109" si="479">D108*$B109/12</f>
        <v>15833.333333333334</v>
      </c>
      <c r="E109" s="80">
        <f t="shared" ref="E109" si="480">E108*$B109/12</f>
        <v>0</v>
      </c>
      <c r="F109" s="80">
        <f t="shared" ref="F109" si="481">F108*$B109/12</f>
        <v>0</v>
      </c>
      <c r="G109" s="80">
        <f t="shared" ref="G109" si="482">G108*$B109/12</f>
        <v>0</v>
      </c>
      <c r="H109" s="80">
        <f t="shared" ref="H109" si="483">H108*$B109/12</f>
        <v>0</v>
      </c>
      <c r="I109" s="80">
        <f t="shared" ref="I109" si="484">I108*$B109/12</f>
        <v>0</v>
      </c>
      <c r="J109" s="80">
        <f t="shared" ref="J109" si="485">J108*$B109/12</f>
        <v>0</v>
      </c>
      <c r="K109" s="80">
        <f t="shared" ref="K109" si="486">K108*$B109/12</f>
        <v>0</v>
      </c>
      <c r="L109" s="80">
        <f t="shared" ref="L109" si="487">L108*$B109/12</f>
        <v>0</v>
      </c>
      <c r="M109" s="80">
        <f t="shared" ref="M109" si="488">M108*$B109/12</f>
        <v>0</v>
      </c>
      <c r="N109" s="80">
        <f t="shared" ref="N109" si="489">N108*$B109/12</f>
        <v>0</v>
      </c>
      <c r="O109" s="80">
        <f t="shared" ref="O109" si="490">O108*$B109/12</f>
        <v>0</v>
      </c>
    </row>
    <row r="110" spans="1:15" s="24" customFormat="1" x14ac:dyDescent="0.3">
      <c r="A110" s="24" t="s">
        <v>117</v>
      </c>
      <c r="C110" s="37"/>
      <c r="D110" s="38"/>
      <c r="E110" s="38"/>
      <c r="F110" s="38"/>
      <c r="G110" s="38"/>
      <c r="H110" s="38"/>
      <c r="I110" s="38">
        <v>1</v>
      </c>
      <c r="J110" s="38">
        <v>1</v>
      </c>
      <c r="K110" s="38">
        <v>1</v>
      </c>
      <c r="L110" s="38">
        <v>1</v>
      </c>
      <c r="M110" s="38">
        <v>1</v>
      </c>
      <c r="N110" s="38">
        <v>1</v>
      </c>
      <c r="O110" s="38">
        <v>1</v>
      </c>
    </row>
    <row r="111" spans="1:15" s="24" customFormat="1" x14ac:dyDescent="0.3">
      <c r="B111" s="81">
        <v>180000</v>
      </c>
      <c r="C111" s="80">
        <f>C110*$B111/12</f>
        <v>0</v>
      </c>
      <c r="D111" s="80">
        <f t="shared" ref="D111" si="491">D110*$B111/12</f>
        <v>0</v>
      </c>
      <c r="E111" s="80">
        <f t="shared" ref="E111" si="492">E110*$B111/12</f>
        <v>0</v>
      </c>
      <c r="F111" s="80">
        <f t="shared" ref="F111" si="493">F110*$B111/12</f>
        <v>0</v>
      </c>
      <c r="G111" s="80">
        <f t="shared" ref="G111" si="494">G110*$B111/12</f>
        <v>0</v>
      </c>
      <c r="H111" s="80">
        <f t="shared" ref="H111" si="495">H110*$B111/12</f>
        <v>0</v>
      </c>
      <c r="I111" s="80">
        <f t="shared" ref="I111" si="496">I110*$B111/12</f>
        <v>15000</v>
      </c>
      <c r="J111" s="80">
        <f t="shared" ref="J111" si="497">J110*$B111/12</f>
        <v>15000</v>
      </c>
      <c r="K111" s="80">
        <f t="shared" ref="K111" si="498">K110*$B111/12</f>
        <v>15000</v>
      </c>
      <c r="L111" s="80">
        <f t="shared" ref="L111" si="499">L110*$B111/12</f>
        <v>15000</v>
      </c>
      <c r="M111" s="80">
        <f t="shared" ref="M111" si="500">M110*$B111/12</f>
        <v>15000</v>
      </c>
      <c r="N111" s="80">
        <f t="shared" ref="N111" si="501">N110*$B111/12</f>
        <v>15000</v>
      </c>
      <c r="O111" s="80">
        <f t="shared" ref="O111" si="502">O110*$B111/12</f>
        <v>15000</v>
      </c>
    </row>
    <row r="112" spans="1:15" s="24" customFormat="1" x14ac:dyDescent="0.3">
      <c r="A112" s="26" t="s">
        <v>123</v>
      </c>
      <c r="B112" s="26"/>
      <c r="C112" s="45">
        <f>C102+C104+C106+C108+C110</f>
        <v>3.3</v>
      </c>
      <c r="D112" s="45">
        <f t="shared" ref="D112:O112" si="503">D102+D104+D106+D108+D110</f>
        <v>3.3</v>
      </c>
      <c r="E112" s="45">
        <f t="shared" si="503"/>
        <v>2.2999999999999998</v>
      </c>
      <c r="F112" s="45">
        <f t="shared" si="503"/>
        <v>2.2999999999999998</v>
      </c>
      <c r="G112" s="45">
        <f t="shared" si="503"/>
        <v>2.2999999999999998</v>
      </c>
      <c r="H112" s="45">
        <f t="shared" si="503"/>
        <v>2.2999999999999998</v>
      </c>
      <c r="I112" s="45">
        <f t="shared" si="503"/>
        <v>3.3</v>
      </c>
      <c r="J112" s="45">
        <f t="shared" si="503"/>
        <v>3.3</v>
      </c>
      <c r="K112" s="45">
        <f t="shared" si="503"/>
        <v>3.3</v>
      </c>
      <c r="L112" s="45">
        <f t="shared" si="503"/>
        <v>3.3</v>
      </c>
      <c r="M112" s="45">
        <f t="shared" si="503"/>
        <v>3.3</v>
      </c>
      <c r="N112" s="45">
        <f t="shared" si="503"/>
        <v>3.3</v>
      </c>
      <c r="O112" s="45">
        <f t="shared" si="503"/>
        <v>3.3</v>
      </c>
    </row>
    <row r="113" spans="1:16" x14ac:dyDescent="0.3">
      <c r="C113" s="83">
        <f>C103+C105+C107+C109+C111</f>
        <v>49900</v>
      </c>
      <c r="D113" s="83">
        <f t="shared" ref="D113:O113" si="504">D103+D105+D107+D109+D111</f>
        <v>49900</v>
      </c>
      <c r="E113" s="83">
        <f t="shared" si="504"/>
        <v>34066.666666666664</v>
      </c>
      <c r="F113" s="83">
        <f t="shared" si="504"/>
        <v>34066.666666666664</v>
      </c>
      <c r="G113" s="83">
        <f t="shared" si="504"/>
        <v>34066.666666666664</v>
      </c>
      <c r="H113" s="83">
        <f t="shared" si="504"/>
        <v>34066.666666666664</v>
      </c>
      <c r="I113" s="83">
        <f t="shared" si="504"/>
        <v>49066.666666666664</v>
      </c>
      <c r="J113" s="83">
        <f t="shared" si="504"/>
        <v>49066.666666666664</v>
      </c>
      <c r="K113" s="83">
        <f t="shared" si="504"/>
        <v>49066.666666666664</v>
      </c>
      <c r="L113" s="83">
        <f t="shared" si="504"/>
        <v>49066.666666666664</v>
      </c>
      <c r="M113" s="83">
        <f t="shared" si="504"/>
        <v>49066.666666666664</v>
      </c>
      <c r="N113" s="83">
        <f t="shared" si="504"/>
        <v>49066.666666666664</v>
      </c>
      <c r="O113" s="83">
        <f t="shared" si="504"/>
        <v>49066.666666666664</v>
      </c>
    </row>
    <row r="114" spans="1:16" x14ac:dyDescent="0.3"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</row>
    <row r="115" spans="1:16" x14ac:dyDescent="0.3"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6" s="24" customFormat="1" x14ac:dyDescent="0.3">
      <c r="A116" s="26" t="s">
        <v>124</v>
      </c>
      <c r="B116" s="26"/>
      <c r="C116" s="45">
        <f t="shared" ref="C116:O116" si="505">C112+C98+C78+C68+C50+C22</f>
        <v>21.1</v>
      </c>
      <c r="D116" s="45">
        <f t="shared" si="505"/>
        <v>21.05</v>
      </c>
      <c r="E116" s="45">
        <f t="shared" si="505"/>
        <v>20.45</v>
      </c>
      <c r="F116" s="45">
        <f t="shared" si="505"/>
        <v>22.15</v>
      </c>
      <c r="G116" s="45">
        <f t="shared" si="505"/>
        <v>22.15</v>
      </c>
      <c r="H116" s="45">
        <f t="shared" si="505"/>
        <v>23.150000000000002</v>
      </c>
      <c r="I116" s="45">
        <f t="shared" si="505"/>
        <v>24.150000000000002</v>
      </c>
      <c r="J116" s="45">
        <f t="shared" si="505"/>
        <v>24.150000000000002</v>
      </c>
      <c r="K116" s="45">
        <f t="shared" si="505"/>
        <v>26.150000000000002</v>
      </c>
      <c r="L116" s="45">
        <f t="shared" si="505"/>
        <v>28.15</v>
      </c>
      <c r="M116" s="45">
        <f t="shared" si="505"/>
        <v>30.15</v>
      </c>
      <c r="N116" s="45">
        <f t="shared" si="505"/>
        <v>31.15</v>
      </c>
      <c r="O116" s="45">
        <f t="shared" si="505"/>
        <v>31.15</v>
      </c>
    </row>
    <row r="117" spans="1:16" x14ac:dyDescent="0.3">
      <c r="A117" s="26" t="s">
        <v>155</v>
      </c>
      <c r="C117" s="83">
        <f t="shared" ref="C117:O117" si="506">C113+C99+C79+C69+C51+C23</f>
        <v>236565.00000000003</v>
      </c>
      <c r="D117" s="83">
        <f t="shared" si="506"/>
        <v>242023.33333333334</v>
      </c>
      <c r="E117" s="83">
        <f t="shared" si="506"/>
        <v>233590.00000000003</v>
      </c>
      <c r="F117" s="83">
        <f t="shared" si="506"/>
        <v>277866.66666666669</v>
      </c>
      <c r="G117" s="83">
        <f t="shared" si="506"/>
        <v>275950</v>
      </c>
      <c r="H117" s="83">
        <f t="shared" si="506"/>
        <v>290950</v>
      </c>
      <c r="I117" s="83">
        <f t="shared" si="506"/>
        <v>305116.66666666663</v>
      </c>
      <c r="J117" s="83">
        <f t="shared" si="506"/>
        <v>305116.66666666663</v>
      </c>
      <c r="K117" s="83">
        <f t="shared" si="506"/>
        <v>321116.66666666663</v>
      </c>
      <c r="L117" s="83">
        <f t="shared" si="506"/>
        <v>331450</v>
      </c>
      <c r="M117" s="83">
        <f t="shared" si="506"/>
        <v>347450</v>
      </c>
      <c r="N117" s="83">
        <f t="shared" si="506"/>
        <v>358283.33333333337</v>
      </c>
      <c r="O117" s="83">
        <f t="shared" si="506"/>
        <v>358283.33333333337</v>
      </c>
      <c r="P117" s="91">
        <f>SUM(D117:O117)</f>
        <v>3647196.6666666665</v>
      </c>
    </row>
    <row r="118" spans="1:16" x14ac:dyDescent="0.3">
      <c r="A118" s="82" t="s">
        <v>159</v>
      </c>
      <c r="D118" s="53">
        <v>250000</v>
      </c>
      <c r="E118" s="53">
        <v>275000</v>
      </c>
      <c r="F118" s="53">
        <v>300000</v>
      </c>
      <c r="G118" s="53">
        <v>325000</v>
      </c>
      <c r="H118" s="53">
        <v>350000</v>
      </c>
      <c r="I118" s="53">
        <v>375000</v>
      </c>
      <c r="J118" s="53">
        <v>400000</v>
      </c>
      <c r="K118" s="53">
        <v>425000</v>
      </c>
      <c r="L118" s="53">
        <v>450000</v>
      </c>
      <c r="M118" s="53">
        <v>475000</v>
      </c>
      <c r="N118" s="53">
        <v>500000</v>
      </c>
      <c r="O118" s="53">
        <v>500000</v>
      </c>
      <c r="P118" s="91">
        <f>SUM(D118:O118)</f>
        <v>4625000</v>
      </c>
    </row>
    <row r="121" spans="1:16" x14ac:dyDescent="0.3">
      <c r="A121" s="82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57DA-F45F-4C75-B4CE-E87752DCE38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COGS-Opex-Capex</vt:lpstr>
      <vt:lpstr>Headcount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 Beatty</cp:lastModifiedBy>
  <dcterms:created xsi:type="dcterms:W3CDTF">2025-11-20T19:43:49Z</dcterms:created>
  <dcterms:modified xsi:type="dcterms:W3CDTF">2026-02-26T20:42:00Z</dcterms:modified>
</cp:coreProperties>
</file>