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E:\J2 Client Files\Heavy Metal Gun Safes\"/>
    </mc:Choice>
  </mc:AlternateContent>
  <xr:revisionPtr revIDLastSave="0" documentId="13_ncr:1_{4CA96C72-066A-4550-A698-E8B723E6C9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ries" sheetId="3" r:id="rId1"/>
    <sheet name="P&amp;L report-2022" sheetId="1" r:id="rId2"/>
    <sheet name="Balance Sheet-202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  <c r="B46" i="2"/>
  <c r="B45" i="2"/>
  <c r="B50" i="2" s="1"/>
  <c r="B41" i="2"/>
  <c r="B40" i="2"/>
  <c r="B42" i="2" s="1"/>
  <c r="B36" i="2"/>
  <c r="B34" i="2"/>
  <c r="B35" i="2" s="1"/>
  <c r="B37" i="2" s="1"/>
  <c r="B38" i="2" s="1"/>
  <c r="B43" i="2" s="1"/>
  <c r="B51" i="2" s="1"/>
  <c r="B32" i="2"/>
  <c r="B30" i="2"/>
  <c r="B29" i="2"/>
  <c r="B28" i="2"/>
  <c r="B27" i="2"/>
  <c r="B20" i="2"/>
  <c r="B19" i="2"/>
  <c r="B18" i="2"/>
  <c r="B17" i="2"/>
  <c r="B21" i="2" s="1"/>
  <c r="B13" i="2"/>
  <c r="B14" i="2" s="1"/>
  <c r="B10" i="2"/>
  <c r="B11" i="2" s="1"/>
  <c r="B15" i="2" s="1"/>
  <c r="B22" i="2" s="1"/>
  <c r="B9" i="2"/>
  <c r="B45" i="1"/>
  <c r="B44" i="1"/>
  <c r="B46" i="1" s="1"/>
  <c r="B47" i="1" s="1"/>
  <c r="B40" i="1"/>
  <c r="B39" i="1"/>
  <c r="B38" i="1"/>
  <c r="B37" i="1"/>
  <c r="B36" i="1"/>
  <c r="B35" i="1"/>
  <c r="B34" i="1"/>
  <c r="B33" i="1"/>
  <c r="B32" i="1"/>
  <c r="B31" i="1"/>
  <c r="B30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41" i="1" s="1"/>
  <c r="B12" i="1"/>
  <c r="B13" i="1" s="1"/>
  <c r="B9" i="1"/>
  <c r="B8" i="1"/>
  <c r="B10" i="1" s="1"/>
  <c r="C23" i="1" l="1"/>
  <c r="C39" i="1"/>
  <c r="C31" i="1"/>
  <c r="B14" i="1"/>
  <c r="B42" i="1" s="1"/>
  <c r="B48" i="1" s="1"/>
  <c r="C48" i="1" s="1"/>
  <c r="C25" i="1"/>
  <c r="C17" i="1"/>
  <c r="C16" i="1"/>
  <c r="C32" i="1"/>
  <c r="C22" i="1"/>
  <c r="C13" i="1"/>
  <c r="C12" i="1"/>
  <c r="C46" i="1"/>
  <c r="C37" i="1"/>
  <c r="C29" i="1"/>
  <c r="C20" i="1"/>
  <c r="C10" i="1"/>
  <c r="C45" i="1"/>
  <c r="C36" i="1"/>
  <c r="C19" i="1"/>
  <c r="C9" i="1"/>
  <c r="C26" i="1"/>
  <c r="C8" i="1"/>
  <c r="C33" i="1"/>
  <c r="C40" i="1"/>
  <c r="C47" i="1"/>
  <c r="C38" i="1"/>
  <c r="C30" i="1"/>
  <c r="C21" i="1"/>
  <c r="C28" i="1"/>
  <c r="C27" i="1"/>
  <c r="C35" i="1"/>
  <c r="C18" i="1"/>
  <c r="C34" i="1"/>
  <c r="C41" i="1"/>
  <c r="C24" i="1"/>
  <c r="C44" i="1"/>
  <c r="C42" i="1" l="1"/>
  <c r="C14" i="1"/>
</calcChain>
</file>

<file path=xl/sharedStrings.xml><?xml version="1.0" encoding="utf-8"?>
<sst xmlns="http://schemas.openxmlformats.org/spreadsheetml/2006/main" count="268" uniqueCount="173">
  <si>
    <t>Heavy Metal Gun Safes</t>
  </si>
  <si>
    <t>Profit and Loss</t>
  </si>
  <si>
    <t>January - December 2022</t>
  </si>
  <si>
    <t>Total</t>
  </si>
  <si>
    <t>Jan - Dec 2022</t>
  </si>
  <si>
    <t>% of Income</t>
  </si>
  <si>
    <t>Income</t>
  </si>
  <si>
    <t xml:space="preserve">   Sales</t>
  </si>
  <si>
    <t xml:space="preserve">   Uncategorized Income</t>
  </si>
  <si>
    <t>Total Income</t>
  </si>
  <si>
    <t>Cost of Goods Sold</t>
  </si>
  <si>
    <t xml:space="preserve">   Cost of Goods Sold</t>
  </si>
  <si>
    <t>Total Cost of Goods Sold</t>
  </si>
  <si>
    <t>Gross Profit</t>
  </si>
  <si>
    <t>Expenses</t>
  </si>
  <si>
    <t xml:space="preserve">   Advertising &amp; Marketing</t>
  </si>
  <si>
    <t xml:space="preserve">   Bank Charges &amp; Fees</t>
  </si>
  <si>
    <t xml:space="preserve">   Car &amp; Truck</t>
  </si>
  <si>
    <t xml:space="preserve">   Contractors</t>
  </si>
  <si>
    <t xml:space="preserve">   Cost of Labor</t>
  </si>
  <si>
    <t xml:space="preserve">   Equipment Lease/Rental</t>
  </si>
  <si>
    <t xml:space="preserve">   Insurance</t>
  </si>
  <si>
    <t xml:space="preserve">   Interest Paid</t>
  </si>
  <si>
    <t xml:space="preserve">   Job Supplies</t>
  </si>
  <si>
    <t xml:space="preserve">   Legal &amp; Professional Services</t>
  </si>
  <si>
    <t xml:space="preserve">   Meals &amp; Entertainment</t>
  </si>
  <si>
    <t xml:space="preserve">   Office Supplies &amp; Software</t>
  </si>
  <si>
    <t xml:space="preserve">   Other Business Expenses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</si>
  <si>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</si>
  <si>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</si>
  <si>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</si>
  <si>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</si>
  <si>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 xml:space="preserve">   Phone</t>
  </si>
  <si>
    <t xml:space="preserve">   QuickBooks Payments Fees</t>
  </si>
  <si>
    <t xml:space="preserve">   Rent &amp; Lease</t>
  </si>
  <si>
    <t xml:space="preserve">   Repairs &amp; Maintenance</t>
  </si>
  <si>
    <t xml:space="preserve">   Security Expense</t>
  </si>
  <si>
    <t xml:space="preserve">   Taxes &amp; Licenses</t>
  </si>
  <si>
    <t xml:space="preserve">   Travel</t>
  </si>
  <si>
    <t xml:space="preserve">   Utilities</t>
  </si>
  <si>
    <t>Total Expenses</t>
  </si>
  <si>
    <t>Net Operating Income</t>
  </si>
  <si>
    <t>Other Expenses</t>
  </si>
  <si>
    <t xml:space="preserve">   Other Miscellaneous Expense</t>
  </si>
  <si>
    <t xml:space="preserve">   Shipping and mail services</t>
  </si>
  <si>
    <t>Total Other Expenses</t>
  </si>
  <si>
    <t>Net Other Income</t>
  </si>
  <si>
    <t>Net Income</t>
  </si>
  <si>
    <t>Tuesday, Oct 24, 2023 12:28:15 PM GMT-7 - Accrual Basis</t>
  </si>
  <si>
    <t>Balance Sheet</t>
  </si>
  <si>
    <t>As of December 31, 2022</t>
  </si>
  <si>
    <t>Remarks</t>
  </si>
  <si>
    <t>ASSETS</t>
  </si>
  <si>
    <t xml:space="preserve">   Current Assets</t>
  </si>
  <si>
    <t xml:space="preserve">      Bank Accounts</t>
  </si>
  <si>
    <t xml:space="preserve">         (NEW) Heavy Metal Business Checking</t>
  </si>
  <si>
    <t>Reconciled as of 12-31-2022</t>
  </si>
  <si>
    <t xml:space="preserve">         Wells Fargo Everyday Checking (2553)</t>
  </si>
  <si>
    <t>Not reconciled as don’t have statements</t>
  </si>
  <si>
    <t xml:space="preserve">      Total Bank Accounts</t>
  </si>
  <si>
    <t xml:space="preserve">      Other Current Assets</t>
  </si>
  <si>
    <t xml:space="preserve">         Uncategorized Asset</t>
  </si>
  <si>
    <t>Please refer next tab for transactions</t>
  </si>
  <si>
    <t xml:space="preserve">      Total Other Current Assets</t>
  </si>
  <si>
    <t xml:space="preserve">   Total Current Assets</t>
  </si>
  <si>
    <t xml:space="preserve">   Fixed Assets</t>
  </si>
  <si>
    <t xml:space="preserve">      Accumulated Depreciation</t>
  </si>
  <si>
    <t xml:space="preserve">      Rockline Trailer</t>
  </si>
  <si>
    <t xml:space="preserve">      Trailer</t>
  </si>
  <si>
    <t xml:space="preserve">      Ultra Lift</t>
  </si>
  <si>
    <t xml:space="preserve">   Total Fixed Assets</t>
  </si>
  <si>
    <t>Zeroed off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</si>
  <si>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</si>
  <si>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</si>
  <si>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</si>
  <si>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</si>
  <si>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Credit Cards</t>
  </si>
  <si>
    <t xml:space="preserve">            American Express</t>
  </si>
  <si>
    <t>Reconciled till 05-31-2023</t>
  </si>
  <si>
    <t xml:space="preserve">            QT Fleet mastercard</t>
  </si>
  <si>
    <t>Kindly confirm if this to be written off to P&amp;L</t>
  </si>
  <si>
    <t xml:space="preserve">            Wells Fargo Credit Card (deleted)</t>
  </si>
  <si>
    <t xml:space="preserve">         Total Credit Cards</t>
  </si>
  <si>
    <t xml:space="preserve">         Other Current Liabilities</t>
  </si>
  <si>
    <t xml:space="preserve">            Direct Deposit Payable</t>
  </si>
  <si>
    <t>As of Dec-22</t>
  </si>
  <si>
    <t xml:space="preserve">            Payroll Liabilities</t>
  </si>
  <si>
    <t xml:space="preserve">               TX Unemployment Tax</t>
  </si>
  <si>
    <t xml:space="preserve">            Total Payroll Liabilities</t>
  </si>
  <si>
    <t xml:space="preserve">            Texas State Comptroller Payable</t>
  </si>
  <si>
    <t xml:space="preserve">         Total Other Current Liabilities</t>
  </si>
  <si>
    <t xml:space="preserve">      Total Current Liabilities</t>
  </si>
  <si>
    <t xml:space="preserve">      Long-Term Liabilities</t>
  </si>
  <si>
    <t xml:space="preserve">         Notes Payable Intuit</t>
  </si>
  <si>
    <t>As per the statement uploaded on Pixie</t>
  </si>
  <si>
    <t xml:space="preserve">         Notes Payable SBA</t>
  </si>
  <si>
    <t>Opening balance as of Jan-22, kindly confirm if need to be written off to P&amp;L</t>
  </si>
  <si>
    <t xml:space="preserve">      Total Long-Term Liabilities</t>
  </si>
  <si>
    <t xml:space="preserve">   Total Liabilities</t>
  </si>
  <si>
    <t xml:space="preserve">   Equity</t>
  </si>
  <si>
    <t xml:space="preserve">      Opening Balance Equity</t>
  </si>
  <si>
    <t xml:space="preserve">      Owner's Investment</t>
  </si>
  <si>
    <t xml:space="preserve">      Owner's Pay &amp; Personal Expenses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</si>
  <si>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</si>
  <si>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</si>
  <si>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</si>
  <si>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</si>
  <si>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Tuesday, Oct 24, 2023 12:21:20 PM GMT-7</t>
  </si>
  <si>
    <t>Transaction Report</t>
  </si>
  <si>
    <t>All Dates</t>
  </si>
  <si>
    <t>Date</t>
  </si>
  <si>
    <t>Transaction Type</t>
  </si>
  <si>
    <t>Num</t>
  </si>
  <si>
    <t>Adj</t>
  </si>
  <si>
    <t>Name</t>
  </si>
  <si>
    <t>Memo/Description</t>
  </si>
  <si>
    <t>Account</t>
  </si>
  <si>
    <t>Split</t>
  </si>
  <si>
    <t>Amount</t>
  </si>
  <si>
    <t>Balance</t>
  </si>
  <si>
    <t>Uncategorized Asset</t>
  </si>
  <si>
    <t>10/21/2020</t>
  </si>
  <si>
    <t>Transfer</t>
  </si>
  <si>
    <t>No</t>
  </si>
  <si>
    <t>VENMO            PAYMENT           4635836771      CALEB LINDNER</t>
  </si>
  <si>
    <t>Heavy Metal Business Checking</t>
  </si>
  <si>
    <t>12/31/2020</t>
  </si>
  <si>
    <t>Journal Entry</t>
  </si>
  <si>
    <t>To Reconciled Financials to 2020  Schedule C Ron Haffner CPA</t>
  </si>
  <si>
    <t>-Split-</t>
  </si>
  <si>
    <t>08/16/2021</t>
  </si>
  <si>
    <t>ZELLE TO WILKINSON KAILEY ON 08/14 REF #RP0C634XHD</t>
  </si>
  <si>
    <t>Wells Fargo Everyday Checking (2553)</t>
  </si>
  <si>
    <t>10/06/2021</t>
  </si>
  <si>
    <t>ONLINE PAYMENT           WEST DES MOIN</t>
  </si>
  <si>
    <t>Wells Fargo Credit Card (deleted)</t>
  </si>
  <si>
    <t xml:space="preserve">Kindly confirm the nature of payment </t>
  </si>
  <si>
    <t>04/07/2022</t>
  </si>
  <si>
    <t>VENMO            PAYMENT    220407 1019416867639   CALEB LINDNER</t>
  </si>
  <si>
    <t>Cost of Labor (Daily)</t>
  </si>
  <si>
    <t>04/12/2022</t>
  </si>
  <si>
    <t>VENMO            PAYMENT    220412 1019520484687   CALEB LINDNER</t>
  </si>
  <si>
    <t>VENMO            PAYMENT    220412 1019520553318   CALEB LINDNER</t>
  </si>
  <si>
    <t>04/20/2022</t>
  </si>
  <si>
    <t>VENMO            PAYMENT    220420 1019657079944   CALEB LINDNER</t>
  </si>
  <si>
    <t>04/25/2022</t>
  </si>
  <si>
    <t>VENMO            PAYMENT    220424 1019729710160   CALEB LINDNER</t>
  </si>
  <si>
    <t>04/29/2022</t>
  </si>
  <si>
    <t>VENMO            PAYMENT    220429 1019828445019   CALEB LINDNER</t>
  </si>
  <si>
    <t>06/21/2022</t>
  </si>
  <si>
    <t>VENMO            PAYMENT    220618 1020753462850   CALEB LINDNER</t>
  </si>
  <si>
    <t>07/05/2022</t>
  </si>
  <si>
    <t>VENMO            PAYMENT    220705 1021060988177   CALEB LINDNER</t>
  </si>
  <si>
    <t>07/11/2022</t>
  </si>
  <si>
    <t>VENMO            PAYMENT    220710 1021146198135   CALEB LINDNER</t>
  </si>
  <si>
    <t>VENMO            PAYMENT    220709 1021135600754   CALEB LINDNER</t>
  </si>
  <si>
    <t>07/14/2022</t>
  </si>
  <si>
    <t>VENMO            PAYMENT    220714 1021229778600   CALEB LINDNER</t>
  </si>
  <si>
    <t>07/21/2022</t>
  </si>
  <si>
    <t>VENMO            PAYMENT    220721 1021350865093   CALEB LINDNER</t>
  </si>
  <si>
    <t>08/08/2022</t>
  </si>
  <si>
    <t>VENMO            PAYMENT    220806 1021629667069   CALEB LINDNER</t>
  </si>
  <si>
    <t>08/22/2022</t>
  </si>
  <si>
    <t>BUSINESS TO BUSINESS ACH BANKCARD         BTOT DEP   220822 422899772415255 HEAVY METAL GUN SAFES</t>
  </si>
  <si>
    <t>Credit Card processing fees</t>
  </si>
  <si>
    <t>09/14/2022</t>
  </si>
  <si>
    <t>BUSINESS TO BUSINESS ACH WEBFILE TAX PYMT DD                902/70020756    33311/12345/EDI/XML -</t>
  </si>
  <si>
    <t>Tax Payment</t>
  </si>
  <si>
    <t>10/03/2022</t>
  </si>
  <si>
    <t>VENMO            PAYMENT    221001 1022665362328   CALEB LINDNER</t>
  </si>
  <si>
    <t>Total for Uncategorized Asset</t>
  </si>
  <si>
    <t>TOTAL</t>
  </si>
  <si>
    <t>Tuesday, Oct 24, 2023 12:26:30 PM GMT-7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</si>
</sst>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9">
    <font>
      <sz val="11"/>
      <color rgb="FF000000"/>
      <name val="Calibri"/>
      <scheme val="minor"/>
    </font>
    <font>
      <b/>
      <sz val="14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b/>
      <sz val="9"/>
      <color rgb="FF000000"/>
      <name val="Arial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164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right" wrapText="1"/>
    </xf>
    <xf numFmtId="10" fontId="7" fillId="0" borderId="0" xfId="0" applyNumberFormat="1" applyFont="1" applyAlignment="1">
      <alignment horizontal="right" wrapText="1"/>
    </xf>
    <xf numFmtId="165" fontId="6" fillId="0" borderId="2" xfId="0" applyNumberFormat="1" applyFont="1" applyBorder="1" applyAlignment="1">
      <alignment horizontal="right" wrapText="1"/>
    </xf>
    <xf numFmtId="10" fontId="6" fillId="0" borderId="2" xfId="0" applyNumberFormat="1" applyFont="1" applyBorder="1" applyAlignment="1">
      <alignment horizontal="right" wrapText="1"/>
    </xf>
    <xf numFmtId="0" fontId="8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2" borderId="0" xfId="0" applyFont="1" applyFill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7" fillId="2" borderId="0" xfId="0" quotePrefix="1" applyFont="1" applyFill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sqref="A1:K1"/>
    </sheetView>
  </sheetViews>
  <sheetFormatPr defaultColWidth="14.42578125" defaultRowHeight="15" customHeight="1"/>
  <cols>
    <col min="1" max="1" width="25.7109375" customWidth="1"/>
    <col min="2" max="2" width="9.42578125" customWidth="1"/>
    <col min="3" max="3" width="12" customWidth="1"/>
    <col min="4" max="6" width="7.7109375" customWidth="1"/>
    <col min="7" max="7" width="84.28515625" customWidth="1"/>
    <col min="8" max="8" width="17.140625" customWidth="1"/>
    <col min="9" max="9" width="31.85546875" customWidth="1"/>
    <col min="10" max="10" width="9.42578125" customWidth="1"/>
    <col min="11" max="11" width="7.7109375" customWidth="1"/>
    <col min="12" max="12" width="26.42578125" customWidth="1"/>
    <col min="13" max="26" width="8.7109375" customWidth="1"/>
  </cols>
  <sheetData>
    <row r="1" spans="1:26" ht="18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8">
      <c r="A2" s="21" t="s">
        <v>108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23" t="s">
        <v>109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0"/>
      <c r="B5" s="11" t="s">
        <v>110</v>
      </c>
      <c r="C5" s="11" t="s">
        <v>111</v>
      </c>
      <c r="D5" s="11" t="s">
        <v>112</v>
      </c>
      <c r="E5" s="11" t="s">
        <v>113</v>
      </c>
      <c r="F5" s="11" t="s">
        <v>114</v>
      </c>
      <c r="G5" s="11" t="s">
        <v>115</v>
      </c>
      <c r="H5" s="11" t="s">
        <v>116</v>
      </c>
      <c r="I5" s="11" t="s">
        <v>117</v>
      </c>
      <c r="J5" s="11" t="s">
        <v>118</v>
      </c>
      <c r="K5" s="11" t="s">
        <v>119</v>
      </c>
      <c r="L5" s="12" t="s">
        <v>51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3" t="s">
        <v>120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4"/>
      <c r="B7" s="15" t="s">
        <v>121</v>
      </c>
      <c r="C7" s="15" t="s">
        <v>122</v>
      </c>
      <c r="D7" s="15"/>
      <c r="E7" s="15" t="s">
        <v>123</v>
      </c>
      <c r="F7" s="15"/>
      <c r="G7" s="15" t="s">
        <v>124</v>
      </c>
      <c r="H7" s="15" t="s">
        <v>120</v>
      </c>
      <c r="I7" s="15" t="s">
        <v>125</v>
      </c>
      <c r="J7" s="16">
        <v>250</v>
      </c>
      <c r="K7" s="16">
        <v>250</v>
      </c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14"/>
      <c r="B8" s="15" t="s">
        <v>126</v>
      </c>
      <c r="C8" s="15" t="s">
        <v>127</v>
      </c>
      <c r="D8" s="15">
        <v>10</v>
      </c>
      <c r="E8" s="15" t="s">
        <v>123</v>
      </c>
      <c r="F8" s="15"/>
      <c r="G8" s="15" t="s">
        <v>128</v>
      </c>
      <c r="H8" s="15" t="s">
        <v>120</v>
      </c>
      <c r="I8" s="17" t="s">
        <v>129</v>
      </c>
      <c r="J8" s="16">
        <v>-250</v>
      </c>
      <c r="K8" s="16">
        <v>0</v>
      </c>
      <c r="L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14"/>
      <c r="B9" s="15" t="s">
        <v>130</v>
      </c>
      <c r="C9" s="15" t="s">
        <v>122</v>
      </c>
      <c r="D9" s="15"/>
      <c r="E9" s="15" t="s">
        <v>123</v>
      </c>
      <c r="F9" s="15"/>
      <c r="G9" s="15" t="s">
        <v>131</v>
      </c>
      <c r="H9" s="15" t="s">
        <v>120</v>
      </c>
      <c r="I9" s="15" t="s">
        <v>132</v>
      </c>
      <c r="J9" s="16">
        <v>180</v>
      </c>
      <c r="K9" s="16">
        <v>180</v>
      </c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14"/>
      <c r="B10" s="15" t="s">
        <v>133</v>
      </c>
      <c r="C10" s="15" t="s">
        <v>122</v>
      </c>
      <c r="D10" s="15"/>
      <c r="E10" s="15" t="s">
        <v>123</v>
      </c>
      <c r="F10" s="15"/>
      <c r="G10" s="15" t="s">
        <v>134</v>
      </c>
      <c r="H10" s="15" t="s">
        <v>120</v>
      </c>
      <c r="I10" s="15" t="s">
        <v>135</v>
      </c>
      <c r="J10" s="16">
        <v>-750</v>
      </c>
      <c r="K10" s="16">
        <v>-570</v>
      </c>
      <c r="L10" s="15" t="s">
        <v>136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0"/>
      <c r="B11" s="18" t="s">
        <v>137</v>
      </c>
      <c r="C11" s="18" t="s">
        <v>122</v>
      </c>
      <c r="D11" s="18"/>
      <c r="E11" s="18" t="s">
        <v>123</v>
      </c>
      <c r="F11" s="18"/>
      <c r="G11" s="18" t="s">
        <v>138</v>
      </c>
      <c r="H11" s="18" t="s">
        <v>120</v>
      </c>
      <c r="I11" s="18" t="s">
        <v>125</v>
      </c>
      <c r="J11" s="19">
        <v>150</v>
      </c>
      <c r="K11" s="19">
        <v>-420</v>
      </c>
      <c r="L11" s="18" t="s">
        <v>139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s="10"/>
      <c r="B12" s="18" t="s">
        <v>140</v>
      </c>
      <c r="C12" s="18" t="s">
        <v>122</v>
      </c>
      <c r="D12" s="18"/>
      <c r="E12" s="18" t="s">
        <v>123</v>
      </c>
      <c r="F12" s="18"/>
      <c r="G12" s="18" t="s">
        <v>141</v>
      </c>
      <c r="H12" s="18" t="s">
        <v>120</v>
      </c>
      <c r="I12" s="18" t="s">
        <v>125</v>
      </c>
      <c r="J12" s="19">
        <v>100</v>
      </c>
      <c r="K12" s="19">
        <v>-320</v>
      </c>
      <c r="L12" s="18" t="s">
        <v>139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10"/>
      <c r="B13" s="18" t="s">
        <v>140</v>
      </c>
      <c r="C13" s="18" t="s">
        <v>122</v>
      </c>
      <c r="D13" s="18"/>
      <c r="E13" s="18" t="s">
        <v>123</v>
      </c>
      <c r="F13" s="18"/>
      <c r="G13" s="18" t="s">
        <v>142</v>
      </c>
      <c r="H13" s="18" t="s">
        <v>120</v>
      </c>
      <c r="I13" s="18" t="s">
        <v>125</v>
      </c>
      <c r="J13" s="19">
        <v>140</v>
      </c>
      <c r="K13" s="19">
        <v>-180</v>
      </c>
      <c r="L13" s="18" t="s">
        <v>139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10"/>
      <c r="B14" s="18" t="s">
        <v>143</v>
      </c>
      <c r="C14" s="18" t="s">
        <v>122</v>
      </c>
      <c r="D14" s="18"/>
      <c r="E14" s="18" t="s">
        <v>123</v>
      </c>
      <c r="F14" s="18"/>
      <c r="G14" s="18" t="s">
        <v>144</v>
      </c>
      <c r="H14" s="18" t="s">
        <v>120</v>
      </c>
      <c r="I14" s="18" t="s">
        <v>125</v>
      </c>
      <c r="J14" s="19">
        <v>133</v>
      </c>
      <c r="K14" s="19">
        <v>-47</v>
      </c>
      <c r="L14" s="18" t="s">
        <v>139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10"/>
      <c r="B15" s="18" t="s">
        <v>145</v>
      </c>
      <c r="C15" s="18" t="s">
        <v>122</v>
      </c>
      <c r="D15" s="18"/>
      <c r="E15" s="18" t="s">
        <v>123</v>
      </c>
      <c r="F15" s="18"/>
      <c r="G15" s="18" t="s">
        <v>146</v>
      </c>
      <c r="H15" s="18" t="s">
        <v>120</v>
      </c>
      <c r="I15" s="18" t="s">
        <v>125</v>
      </c>
      <c r="J15" s="19">
        <v>250</v>
      </c>
      <c r="K15" s="19">
        <v>203</v>
      </c>
      <c r="L15" s="18" t="s">
        <v>139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10"/>
      <c r="B16" s="18" t="s">
        <v>147</v>
      </c>
      <c r="C16" s="18" t="s">
        <v>122</v>
      </c>
      <c r="D16" s="18"/>
      <c r="E16" s="18" t="s">
        <v>123</v>
      </c>
      <c r="F16" s="18"/>
      <c r="G16" s="18" t="s">
        <v>148</v>
      </c>
      <c r="H16" s="18" t="s">
        <v>120</v>
      </c>
      <c r="I16" s="18" t="s">
        <v>125</v>
      </c>
      <c r="J16" s="19">
        <v>250</v>
      </c>
      <c r="K16" s="19">
        <v>453</v>
      </c>
      <c r="L16" s="18" t="s">
        <v>139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>
      <c r="A17" s="10"/>
      <c r="B17" s="18" t="s">
        <v>149</v>
      </c>
      <c r="C17" s="18" t="s">
        <v>122</v>
      </c>
      <c r="D17" s="18"/>
      <c r="E17" s="18" t="s">
        <v>123</v>
      </c>
      <c r="F17" s="18"/>
      <c r="G17" s="18" t="s">
        <v>150</v>
      </c>
      <c r="H17" s="18" t="s">
        <v>120</v>
      </c>
      <c r="I17" s="18" t="s">
        <v>125</v>
      </c>
      <c r="J17" s="19">
        <v>35</v>
      </c>
      <c r="K17" s="19">
        <v>488</v>
      </c>
      <c r="L17" s="18" t="s">
        <v>139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0"/>
      <c r="B18" s="18" t="s">
        <v>151</v>
      </c>
      <c r="C18" s="18" t="s">
        <v>122</v>
      </c>
      <c r="D18" s="18"/>
      <c r="E18" s="18" t="s">
        <v>123</v>
      </c>
      <c r="F18" s="18"/>
      <c r="G18" s="18" t="s">
        <v>152</v>
      </c>
      <c r="H18" s="18" t="s">
        <v>120</v>
      </c>
      <c r="I18" s="18" t="s">
        <v>125</v>
      </c>
      <c r="J18" s="19">
        <v>60</v>
      </c>
      <c r="K18" s="19">
        <v>548</v>
      </c>
      <c r="L18" s="18" t="s">
        <v>139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0"/>
      <c r="B19" s="18" t="s">
        <v>153</v>
      </c>
      <c r="C19" s="18" t="s">
        <v>122</v>
      </c>
      <c r="D19" s="18"/>
      <c r="E19" s="18" t="s">
        <v>123</v>
      </c>
      <c r="F19" s="18"/>
      <c r="G19" s="18" t="s">
        <v>154</v>
      </c>
      <c r="H19" s="18" t="s">
        <v>120</v>
      </c>
      <c r="I19" s="18" t="s">
        <v>125</v>
      </c>
      <c r="J19" s="19">
        <v>49.99</v>
      </c>
      <c r="K19" s="19">
        <v>597.99</v>
      </c>
      <c r="L19" s="18" t="s">
        <v>139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0"/>
      <c r="B20" s="18" t="s">
        <v>153</v>
      </c>
      <c r="C20" s="18" t="s">
        <v>122</v>
      </c>
      <c r="D20" s="18"/>
      <c r="E20" s="18" t="s">
        <v>123</v>
      </c>
      <c r="F20" s="18"/>
      <c r="G20" s="18" t="s">
        <v>155</v>
      </c>
      <c r="H20" s="18" t="s">
        <v>120</v>
      </c>
      <c r="I20" s="18" t="s">
        <v>125</v>
      </c>
      <c r="J20" s="19">
        <v>29.34</v>
      </c>
      <c r="K20" s="19">
        <v>627.33000000000004</v>
      </c>
      <c r="L20" s="18" t="s">
        <v>139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8" t="s">
        <v>156</v>
      </c>
      <c r="C21" s="18" t="s">
        <v>122</v>
      </c>
      <c r="D21" s="18"/>
      <c r="E21" s="18" t="s">
        <v>123</v>
      </c>
      <c r="F21" s="18"/>
      <c r="G21" s="18" t="s">
        <v>157</v>
      </c>
      <c r="H21" s="18" t="s">
        <v>120</v>
      </c>
      <c r="I21" s="18" t="s">
        <v>125</v>
      </c>
      <c r="J21" s="19">
        <v>150</v>
      </c>
      <c r="K21" s="19">
        <v>777.33</v>
      </c>
      <c r="L21" s="18" t="s">
        <v>139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18" t="s">
        <v>158</v>
      </c>
      <c r="C22" s="18" t="s">
        <v>122</v>
      </c>
      <c r="D22" s="18"/>
      <c r="E22" s="18" t="s">
        <v>123</v>
      </c>
      <c r="F22" s="18"/>
      <c r="G22" s="18" t="s">
        <v>159</v>
      </c>
      <c r="H22" s="18" t="s">
        <v>120</v>
      </c>
      <c r="I22" s="18" t="s">
        <v>125</v>
      </c>
      <c r="J22" s="19">
        <v>280</v>
      </c>
      <c r="K22" s="19">
        <v>1057.33</v>
      </c>
      <c r="L22" s="18" t="s">
        <v>139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8" t="s">
        <v>160</v>
      </c>
      <c r="C23" s="18" t="s">
        <v>122</v>
      </c>
      <c r="D23" s="18"/>
      <c r="E23" s="18" t="s">
        <v>123</v>
      </c>
      <c r="F23" s="18"/>
      <c r="G23" s="18" t="s">
        <v>161</v>
      </c>
      <c r="H23" s="18" t="s">
        <v>120</v>
      </c>
      <c r="I23" s="18" t="s">
        <v>125</v>
      </c>
      <c r="J23" s="19">
        <v>500</v>
      </c>
      <c r="K23" s="19">
        <v>1557.33</v>
      </c>
      <c r="L23" s="18" t="s">
        <v>139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8" t="s">
        <v>162</v>
      </c>
      <c r="C24" s="18" t="s">
        <v>122</v>
      </c>
      <c r="D24" s="18"/>
      <c r="E24" s="18" t="s">
        <v>123</v>
      </c>
      <c r="F24" s="18"/>
      <c r="G24" s="18" t="s">
        <v>163</v>
      </c>
      <c r="H24" s="18" t="s">
        <v>120</v>
      </c>
      <c r="I24" s="18" t="s">
        <v>125</v>
      </c>
      <c r="J24" s="19">
        <v>5434.6</v>
      </c>
      <c r="K24" s="19">
        <v>6991.93</v>
      </c>
      <c r="L24" s="18" t="s">
        <v>164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8" t="s">
        <v>165</v>
      </c>
      <c r="C25" s="18" t="s">
        <v>122</v>
      </c>
      <c r="D25" s="18"/>
      <c r="E25" s="18" t="s">
        <v>123</v>
      </c>
      <c r="F25" s="18"/>
      <c r="G25" s="18" t="s">
        <v>166</v>
      </c>
      <c r="H25" s="18" t="s">
        <v>120</v>
      </c>
      <c r="I25" s="18" t="s">
        <v>125</v>
      </c>
      <c r="J25" s="19">
        <v>52</v>
      </c>
      <c r="K25" s="19">
        <v>7043.93</v>
      </c>
      <c r="L25" s="18" t="s">
        <v>167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8" t="s">
        <v>168</v>
      </c>
      <c r="C26" s="18" t="s">
        <v>122</v>
      </c>
      <c r="D26" s="18"/>
      <c r="E26" s="18" t="s">
        <v>123</v>
      </c>
      <c r="F26" s="18"/>
      <c r="G26" s="18" t="s">
        <v>169</v>
      </c>
      <c r="H26" s="18" t="s">
        <v>120</v>
      </c>
      <c r="I26" s="18" t="s">
        <v>125</v>
      </c>
      <c r="J26" s="19">
        <v>73.91</v>
      </c>
      <c r="K26" s="19">
        <v>7117.84</v>
      </c>
      <c r="L26" s="18" t="s">
        <v>139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3" t="s">
        <v>170</v>
      </c>
      <c r="B27" s="10"/>
      <c r="C27" s="10"/>
      <c r="D27" s="10"/>
      <c r="E27" s="10"/>
      <c r="F27" s="10"/>
      <c r="G27" s="10"/>
      <c r="H27" s="10"/>
      <c r="I27" s="10"/>
      <c r="J27" s="20">
        <v>7117.84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3" t="s">
        <v>171</v>
      </c>
      <c r="B28" s="10"/>
      <c r="C28" s="10"/>
      <c r="D28" s="10"/>
      <c r="E28" s="10"/>
      <c r="F28" s="10"/>
      <c r="G28" s="10"/>
      <c r="H28" s="10"/>
      <c r="I28" s="10"/>
      <c r="J28" s="20">
        <v>7117.84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26" t="s">
        <v>172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4">
    <mergeCell ref="A1:K1"/>
    <mergeCell ref="A2:K2"/>
    <mergeCell ref="A3:K3"/>
    <mergeCell ref="A31:K3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workbookViewId="0"/>
  </sheetViews>
  <sheetFormatPr defaultColWidth="14.42578125" defaultRowHeight="15" customHeight="1"/>
  <cols>
    <col min="1" max="1" width="26.42578125" customWidth="1"/>
    <col min="2" max="2" width="11.7109375" customWidth="1"/>
    <col min="3" max="3" width="10.7109375" customWidth="1"/>
    <col min="4" max="26" width="8.7109375" customWidth="1"/>
  </cols>
  <sheetData>
    <row r="1" spans="1:3" ht="18">
      <c r="A1" s="21" t="s">
        <v>0</v>
      </c>
      <c r="B1" s="22"/>
      <c r="C1" s="22"/>
    </row>
    <row r="2" spans="1:3" ht="18">
      <c r="A2" s="21" t="s">
        <v>1</v>
      </c>
      <c r="B2" s="22"/>
      <c r="C2" s="22"/>
    </row>
    <row r="3" spans="1:3">
      <c r="A3" s="23" t="s">
        <v>2</v>
      </c>
      <c r="B3" s="22"/>
      <c r="C3" s="22"/>
    </row>
    <row r="5" spans="1:3">
      <c r="A5" s="1"/>
      <c r="B5" s="24" t="s">
        <v>3</v>
      </c>
      <c r="C5" s="25"/>
    </row>
    <row r="6" spans="1:3" ht="24.75">
      <c r="A6" s="1"/>
      <c r="B6" s="2" t="s">
        <v>4</v>
      </c>
      <c r="C6" s="2" t="s">
        <v>5</v>
      </c>
    </row>
    <row r="7" spans="1:3">
      <c r="A7" s="3" t="s">
        <v>6</v>
      </c>
      <c r="B7" s="4"/>
      <c r="C7" s="4"/>
    </row>
    <row r="8" spans="1:3">
      <c r="A8" s="3" t="s">
        <v>7</v>
      </c>
      <c r="B8" s="5">
        <f>996119.51</f>
        <v>996119.51</v>
      </c>
      <c r="C8" s="6">
        <f>IF(B10=0,"",(B8)/(B10))</f>
        <v>0.99131014898599146</v>
      </c>
    </row>
    <row r="9" spans="1:3">
      <c r="A9" s="3" t="s">
        <v>8</v>
      </c>
      <c r="B9" s="5">
        <f>8732.01</f>
        <v>8732.01</v>
      </c>
      <c r="C9" s="6">
        <f>IF(B10=0,"",(B9)/(B10))</f>
        <v>8.6898510140085167E-3</v>
      </c>
    </row>
    <row r="10" spans="1:3">
      <c r="A10" s="3" t="s">
        <v>9</v>
      </c>
      <c r="B10" s="7">
        <f>(B8)+(B9)</f>
        <v>1004851.52</v>
      </c>
      <c r="C10" s="8">
        <f>IF(B10=0,"",(B10)/(B10))</f>
        <v>1</v>
      </c>
    </row>
    <row r="11" spans="1:3">
      <c r="A11" s="3" t="s">
        <v>10</v>
      </c>
      <c r="B11" s="4"/>
      <c r="C11" s="4"/>
    </row>
    <row r="12" spans="1:3">
      <c r="A12" s="3" t="s">
        <v>11</v>
      </c>
      <c r="B12" s="5">
        <f>512145.8</f>
        <v>512145.8</v>
      </c>
      <c r="C12" s="6">
        <f>IF(B10=0,"",(B12)/(B10))</f>
        <v>0.5096731107099286</v>
      </c>
    </row>
    <row r="13" spans="1:3">
      <c r="A13" s="3" t="s">
        <v>12</v>
      </c>
      <c r="B13" s="7">
        <f>B12</f>
        <v>512145.8</v>
      </c>
      <c r="C13" s="8">
        <f>IF(B10=0,"",(B13)/(B10))</f>
        <v>0.5096731107099286</v>
      </c>
    </row>
    <row r="14" spans="1:3">
      <c r="A14" s="3" t="s">
        <v>13</v>
      </c>
      <c r="B14" s="7">
        <f>(B10)-(B13)</f>
        <v>492705.72000000003</v>
      </c>
      <c r="C14" s="8">
        <f>IF(B10=0,"",(B14)/(B10))</f>
        <v>0.49032688929007145</v>
      </c>
    </row>
    <row r="15" spans="1:3">
      <c r="A15" s="3" t="s">
        <v>14</v>
      </c>
      <c r="B15" s="4"/>
      <c r="C15" s="4"/>
    </row>
    <row r="16" spans="1:3">
      <c r="A16" s="3" t="s">
        <v>15</v>
      </c>
      <c r="B16" s="5">
        <f>30243.21</f>
        <v>30243.21</v>
      </c>
      <c r="C16" s="6">
        <f>IF(B10=0,"",(B16)/(B10))</f>
        <v>3.0097192866862559E-2</v>
      </c>
    </row>
    <row r="17" spans="1:3">
      <c r="A17" s="3" t="s">
        <v>16</v>
      </c>
      <c r="B17" s="5">
        <f>6434.67</f>
        <v>6434.67</v>
      </c>
      <c r="C17" s="6">
        <f>IF(B10=0,"",(B17)/(B10))</f>
        <v>6.4036027929778123E-3</v>
      </c>
    </row>
    <row r="18" spans="1:3">
      <c r="A18" s="3" t="s">
        <v>17</v>
      </c>
      <c r="B18" s="5">
        <f>108226.42</f>
        <v>108226.42</v>
      </c>
      <c r="C18" s="6">
        <f>IF(B10=0,"",(B18)/(B10))</f>
        <v>0.10770389241188588</v>
      </c>
    </row>
    <row r="19" spans="1:3">
      <c r="A19" s="3" t="s">
        <v>18</v>
      </c>
      <c r="B19" s="5">
        <f>25600</f>
        <v>25600</v>
      </c>
      <c r="C19" s="6">
        <f>IF(B10=0,"",(B19)/(B10))</f>
        <v>2.5476400732319139E-2</v>
      </c>
    </row>
    <row r="20" spans="1:3">
      <c r="A20" s="3" t="s">
        <v>19</v>
      </c>
      <c r="B20" s="5">
        <f>6851.15</f>
        <v>6851.15</v>
      </c>
      <c r="C20" s="6">
        <f>IF(B10=0,"",(B20)/(B10))</f>
        <v>6.8180719873917285E-3</v>
      </c>
    </row>
    <row r="21" spans="1:3" ht="15.75" customHeight="1">
      <c r="A21" s="3" t="s">
        <v>20</v>
      </c>
      <c r="B21" s="5">
        <f>5692.24</f>
        <v>5692.24</v>
      </c>
      <c r="C21" s="6">
        <f>IF(B10=0,"",(B21)/(B10))</f>
        <v>5.664757316583449E-3</v>
      </c>
    </row>
    <row r="22" spans="1:3" ht="15.75" customHeight="1">
      <c r="A22" s="3" t="s">
        <v>21</v>
      </c>
      <c r="B22" s="5">
        <f>27223.35</f>
        <v>27223.35</v>
      </c>
      <c r="C22" s="6">
        <f>IF(B10=0,"",(B22)/(B10))</f>
        <v>2.7091913042038288E-2</v>
      </c>
    </row>
    <row r="23" spans="1:3" ht="15.75" customHeight="1">
      <c r="A23" s="3" t="s">
        <v>22</v>
      </c>
      <c r="B23" s="5">
        <f>-1701.14</f>
        <v>-1701.14</v>
      </c>
      <c r="C23" s="6">
        <f>IF(B10=0,"",(B23)/(B10))</f>
        <v>-1.6929267321006789E-3</v>
      </c>
    </row>
    <row r="24" spans="1:3" ht="15.75" customHeight="1">
      <c r="A24" s="3" t="s">
        <v>23</v>
      </c>
      <c r="B24" s="5">
        <f>7111.07</f>
        <v>7111.07</v>
      </c>
      <c r="C24" s="6">
        <f>IF(B10=0,"",(B24)/(B10))</f>
        <v>7.0767370685770568E-3</v>
      </c>
    </row>
    <row r="25" spans="1:3" ht="15.75" customHeight="1">
      <c r="A25" s="3" t="s">
        <v>24</v>
      </c>
      <c r="B25" s="5">
        <f>1775</f>
        <v>1775</v>
      </c>
      <c r="C25" s="6">
        <f>IF(B10=0,"",(B25)/(B10))</f>
        <v>1.766430128901034E-3</v>
      </c>
    </row>
    <row r="26" spans="1:3" ht="15.75" customHeight="1">
      <c r="A26" s="3" t="s">
        <v>25</v>
      </c>
      <c r="B26" s="5">
        <f>4479.88</f>
        <v>4479.88</v>
      </c>
      <c r="C26" s="6">
        <f>IF(B10=0,"",(B26)/(B10))</f>
        <v>4.4582507075274164E-3</v>
      </c>
    </row>
    <row r="27" spans="1:3" ht="15.75" customHeight="1">
      <c r="A27" s="3" t="s">
        <v>26</v>
      </c>
      <c r="B27" s="5">
        <f>936.66</f>
        <v>936.66</v>
      </c>
      <c r="C27" s="6">
        <f>IF(B10=0,"",(B27)/(B10))</f>
        <v>9.3213771523179857E-4</v>
      </c>
    </row>
    <row r="28" spans="1:3" ht="15.75" customHeight="1">
      <c r="A28" s="3" t="s">
        <v>27</v>
      </c>
      <c r="B28" s="5">
        <f>109.13</f>
        <v>109.13</v>
      </c>
      <c r="C28" s="6">
        <f>IF(B10=0,"",(B28)/(B10))</f>
        <v>1.0860310984054638E-4</v>
      </c>
    </row>
    <row r="29" spans="1:3" ht="15.75" customHeight="1">
      <c r="A29" s="3" t="s">
        <v>28</v>
      </c>
      <c r="B29" s="4"/>
      <c r="C29" s="6">
        <f>IF(B10=0,"",(B29)/(B10))</f>
        <v>0</v>
      </c>
    </row>
    <row r="30" spans="1:3" ht="15.75" customHeight="1">
      <c r="A30" s="3" t="s">
        <v>29</v>
      </c>
      <c r="B30" s="5">
        <f>8419.77</f>
        <v>8419.77</v>
      </c>
      <c r="C30" s="6">
        <f>IF(B10=0,"",(B30)/(B10))</f>
        <v>8.3791185388265126E-3</v>
      </c>
    </row>
    <row r="31" spans="1:3" ht="15.75" customHeight="1">
      <c r="A31" s="3" t="s">
        <v>30</v>
      </c>
      <c r="B31" s="5">
        <f>104834.8</f>
        <v>104834.8</v>
      </c>
      <c r="C31" s="6">
        <f>IF(B10=0,"",(B31)/(B10))</f>
        <v>0.10432864748017698</v>
      </c>
    </row>
    <row r="32" spans="1:3" ht="15.75" customHeight="1">
      <c r="A32" s="3" t="s">
        <v>31</v>
      </c>
      <c r="B32" s="7">
        <f>((B29)+(B30))+(B31)</f>
        <v>113254.57</v>
      </c>
      <c r="C32" s="8">
        <f>IF(B10=0,"",(B32)/(B10))</f>
        <v>0.11270776601900349</v>
      </c>
    </row>
    <row r="33" spans="1:3" ht="15.75" customHeight="1">
      <c r="A33" s="3" t="s">
        <v>32</v>
      </c>
      <c r="B33" s="5">
        <f>2707.67</f>
        <v>2707.67</v>
      </c>
      <c r="C33" s="6">
        <f>IF(B10=0,"",(B33)/(B10))</f>
        <v>2.6945971082374437E-3</v>
      </c>
    </row>
    <row r="34" spans="1:3" ht="15.75" customHeight="1">
      <c r="A34" s="3" t="s">
        <v>33</v>
      </c>
      <c r="B34" s="5">
        <f>9817.31</f>
        <v>9817.31</v>
      </c>
      <c r="C34" s="6">
        <f>IF(B10=0,"",(B34)/(B10))</f>
        <v>9.769911080992344E-3</v>
      </c>
    </row>
    <row r="35" spans="1:3" ht="15.75" customHeight="1">
      <c r="A35" s="3" t="s">
        <v>34</v>
      </c>
      <c r="B35" s="5">
        <f>50321.19</f>
        <v>50321.19</v>
      </c>
      <c r="C35" s="6">
        <f>IF(B10=0,"",(B35)/(B10))</f>
        <v>5.0078234444030104E-2</v>
      </c>
    </row>
    <row r="36" spans="1:3" ht="15.75" customHeight="1">
      <c r="A36" s="3" t="s">
        <v>35</v>
      </c>
      <c r="B36" s="5">
        <f>4614.74</f>
        <v>4614.74</v>
      </c>
      <c r="C36" s="6">
        <f>IF(B10=0,"",(B36)/(B10))</f>
        <v>4.5924595904477507E-3</v>
      </c>
    </row>
    <row r="37" spans="1:3" ht="15.75" customHeight="1">
      <c r="A37" s="3" t="s">
        <v>36</v>
      </c>
      <c r="B37" s="5">
        <f>2464.68</f>
        <v>2464.6799999999998</v>
      </c>
      <c r="C37" s="6">
        <f>IF(B10=0,"",(B37)/(B10))</f>
        <v>2.452780287380169E-3</v>
      </c>
    </row>
    <row r="38" spans="1:3" ht="15.75" customHeight="1">
      <c r="A38" s="3" t="s">
        <v>37</v>
      </c>
      <c r="B38" s="5">
        <f>3274.52</f>
        <v>3274.52</v>
      </c>
      <c r="C38" s="6">
        <f>IF(B10=0,"",(B38)/(B10))</f>
        <v>3.2587103017966274E-3</v>
      </c>
    </row>
    <row r="39" spans="1:3" ht="15.75" customHeight="1">
      <c r="A39" s="3" t="s">
        <v>38</v>
      </c>
      <c r="B39" s="5">
        <f>3483.43</f>
        <v>3483.43</v>
      </c>
      <c r="C39" s="6">
        <f>IF(B10=0,"",(B39)/(B10))</f>
        <v>3.4666116641790022E-3</v>
      </c>
    </row>
    <row r="40" spans="1:3" ht="15.75" customHeight="1">
      <c r="A40" s="3" t="s">
        <v>39</v>
      </c>
      <c r="B40" s="5">
        <f>5755.72</f>
        <v>5755.72</v>
      </c>
      <c r="C40" s="6">
        <f>IF(B10=0,"",(B40)/(B10))</f>
        <v>5.7279308290243717E-3</v>
      </c>
    </row>
    <row r="41" spans="1:3" ht="15.75" customHeight="1">
      <c r="A41" s="3" t="s">
        <v>40</v>
      </c>
      <c r="B41" s="7">
        <f>(((((((((((((((((((((B16)+(B17))+(B18))+(B19))+(B20))+(B21))+(B22))+(B23))+(B24))+(B25))+(B26))+(B27))+(B28))+(B32))+(B33))+(B34))+(B35))+(B36))+(B37))+(B38))+(B39))+(B40)</f>
        <v>418675.46999999991</v>
      </c>
      <c r="C41" s="8">
        <f>IF(B10=0,"",(B41)/(B10))</f>
        <v>0.41665406447312725</v>
      </c>
    </row>
    <row r="42" spans="1:3" ht="15.75" customHeight="1">
      <c r="A42" s="3" t="s">
        <v>41</v>
      </c>
      <c r="B42" s="7">
        <f>(B14)-(B41)</f>
        <v>74030.250000000116</v>
      </c>
      <c r="C42" s="8">
        <f>IF(B10=0,"",(B42)/(B10))</f>
        <v>7.3672824816944218E-2</v>
      </c>
    </row>
    <row r="43" spans="1:3" ht="15.75" customHeight="1">
      <c r="A43" s="3" t="s">
        <v>42</v>
      </c>
      <c r="B43" s="4"/>
      <c r="C43" s="4"/>
    </row>
    <row r="44" spans="1:3" ht="15.75" customHeight="1">
      <c r="A44" s="3" t="s">
        <v>43</v>
      </c>
      <c r="B44" s="5">
        <f>1708</f>
        <v>1708</v>
      </c>
      <c r="C44" s="6">
        <f>IF(B10=0,"",(B44)/(B10))</f>
        <v>1.6997536113594175E-3</v>
      </c>
    </row>
    <row r="45" spans="1:3" ht="15.75" customHeight="1">
      <c r="A45" s="3" t="s">
        <v>44</v>
      </c>
      <c r="B45" s="5">
        <f>101.6</f>
        <v>101.6</v>
      </c>
      <c r="C45" s="6">
        <f>IF(B10=0,"",(B45)/(B10))</f>
        <v>1.0110946540639158E-4</v>
      </c>
    </row>
    <row r="46" spans="1:3" ht="15.75" customHeight="1">
      <c r="A46" s="3" t="s">
        <v>45</v>
      </c>
      <c r="B46" s="7">
        <f>(B44)+(B45)</f>
        <v>1809.6</v>
      </c>
      <c r="C46" s="8">
        <f>IF(B10=0,"",(B46)/(B10))</f>
        <v>1.800863076765809E-3</v>
      </c>
    </row>
    <row r="47" spans="1:3" ht="15.75" customHeight="1">
      <c r="A47" s="3" t="s">
        <v>46</v>
      </c>
      <c r="B47" s="7">
        <f>(0)-(B46)</f>
        <v>-1809.6</v>
      </c>
      <c r="C47" s="8">
        <f>IF(B10=0,"",(B47)/(B10))</f>
        <v>-1.800863076765809E-3</v>
      </c>
    </row>
    <row r="48" spans="1:3" ht="15.75" customHeight="1">
      <c r="A48" s="3" t="s">
        <v>47</v>
      </c>
      <c r="B48" s="7">
        <f>(B42)+(B47)</f>
        <v>72220.650000000111</v>
      </c>
      <c r="C48" s="8">
        <f>IF(B10=0,"",(B48)/(B10))</f>
        <v>7.1871961740178403E-2</v>
      </c>
    </row>
    <row r="49" spans="1:3" ht="15.75" customHeight="1">
      <c r="A49" s="3"/>
      <c r="B49" s="4"/>
      <c r="C49" s="4"/>
    </row>
    <row r="50" spans="1:3" ht="15.75" customHeight="1"/>
    <row r="51" spans="1:3" ht="15.75" customHeight="1"/>
    <row r="52" spans="1:3" ht="15.75" customHeight="1">
      <c r="A52" s="26" t="s">
        <v>48</v>
      </c>
      <c r="B52" s="22"/>
      <c r="C52" s="22"/>
    </row>
    <row r="53" spans="1:3" ht="15.75" customHeight="1"/>
    <row r="54" spans="1:3" ht="15.75" customHeight="1"/>
    <row r="55" spans="1:3" ht="15.75" customHeight="1"/>
    <row r="56" spans="1:3" ht="15.75" customHeight="1"/>
    <row r="57" spans="1:3" ht="15.75" customHeight="1"/>
    <row r="58" spans="1:3" ht="15.75" customHeight="1"/>
    <row r="59" spans="1:3" ht="15.75" customHeight="1"/>
    <row r="60" spans="1:3" ht="15.75" customHeight="1"/>
    <row r="61" spans="1:3" ht="15.75" customHeight="1"/>
    <row r="62" spans="1:3" ht="15.75" customHeight="1"/>
    <row r="63" spans="1:3" ht="15.75" customHeight="1"/>
    <row r="64" spans="1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2:C2"/>
    <mergeCell ref="A3:C3"/>
    <mergeCell ref="B5:C5"/>
    <mergeCell ref="A52:C5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/>
  <cols>
    <col min="1" max="1" width="39.5703125" customWidth="1"/>
    <col min="2" max="2" width="18.85546875" customWidth="1"/>
    <col min="3" max="26" width="8.7109375" customWidth="1"/>
  </cols>
  <sheetData>
    <row r="1" spans="1:3" ht="18">
      <c r="A1" s="21" t="s">
        <v>0</v>
      </c>
      <c r="B1" s="22"/>
    </row>
    <row r="2" spans="1:3" ht="18">
      <c r="A2" s="21" t="s">
        <v>49</v>
      </c>
      <c r="B2" s="22"/>
    </row>
    <row r="3" spans="1:3">
      <c r="A3" s="23" t="s">
        <v>50</v>
      </c>
      <c r="B3" s="22"/>
    </row>
    <row r="5" spans="1:3">
      <c r="A5" s="1"/>
      <c r="B5" s="2" t="s">
        <v>3</v>
      </c>
      <c r="C5" s="9" t="s">
        <v>51</v>
      </c>
    </row>
    <row r="6" spans="1:3">
      <c r="A6" s="3" t="s">
        <v>52</v>
      </c>
      <c r="B6" s="4"/>
    </row>
    <row r="7" spans="1:3">
      <c r="A7" s="3" t="s">
        <v>53</v>
      </c>
      <c r="B7" s="4"/>
    </row>
    <row r="8" spans="1:3">
      <c r="A8" s="3" t="s">
        <v>54</v>
      </c>
      <c r="B8" s="4"/>
    </row>
    <row r="9" spans="1:3">
      <c r="A9" s="3" t="s">
        <v>55</v>
      </c>
      <c r="B9" s="5">
        <f>15164.18</f>
        <v>15164.18</v>
      </c>
      <c r="C9" s="9" t="s">
        <v>56</v>
      </c>
    </row>
    <row r="10" spans="1:3">
      <c r="A10" s="3" t="s">
        <v>57</v>
      </c>
      <c r="B10" s="5">
        <f>103067.56</f>
        <v>103067.56</v>
      </c>
      <c r="C10" s="9" t="s">
        <v>58</v>
      </c>
    </row>
    <row r="11" spans="1:3">
      <c r="A11" s="3" t="s">
        <v>59</v>
      </c>
      <c r="B11" s="7">
        <f>(B9)+(B10)</f>
        <v>118231.73999999999</v>
      </c>
    </row>
    <row r="12" spans="1:3">
      <c r="A12" s="3" t="s">
        <v>60</v>
      </c>
      <c r="B12" s="4"/>
    </row>
    <row r="13" spans="1:3">
      <c r="A13" s="3" t="s">
        <v>61</v>
      </c>
      <c r="B13" s="5">
        <f>7117.84</f>
        <v>7117.84</v>
      </c>
      <c r="C13" s="9" t="s">
        <v>62</v>
      </c>
    </row>
    <row r="14" spans="1:3">
      <c r="A14" s="3" t="s">
        <v>63</v>
      </c>
      <c r="B14" s="7">
        <f>B13</f>
        <v>7117.84</v>
      </c>
    </row>
    <row r="15" spans="1:3">
      <c r="A15" s="3" t="s">
        <v>64</v>
      </c>
      <c r="B15" s="7">
        <f>(B11)+(B14)</f>
        <v>125349.57999999999</v>
      </c>
    </row>
    <row r="16" spans="1:3">
      <c r="A16" s="3" t="s">
        <v>65</v>
      </c>
      <c r="B16" s="4"/>
    </row>
    <row r="17" spans="1:3">
      <c r="A17" s="3" t="s">
        <v>66</v>
      </c>
      <c r="B17" s="5">
        <f>-32765.83</f>
        <v>-32765.83</v>
      </c>
    </row>
    <row r="18" spans="1:3">
      <c r="A18" s="3" t="s">
        <v>67</v>
      </c>
      <c r="B18" s="5">
        <f>17303</f>
        <v>17303</v>
      </c>
    </row>
    <row r="19" spans="1:3">
      <c r="A19" s="3" t="s">
        <v>68</v>
      </c>
      <c r="B19" s="5">
        <f>10457</f>
        <v>10457</v>
      </c>
    </row>
    <row r="20" spans="1:3">
      <c r="A20" s="3" t="s">
        <v>69</v>
      </c>
      <c r="B20" s="5">
        <f>5005.83</f>
        <v>5005.83</v>
      </c>
    </row>
    <row r="21" spans="1:3" ht="15.75" customHeight="1">
      <c r="A21" s="3" t="s">
        <v>70</v>
      </c>
      <c r="B21" s="7">
        <f>(((B17)+(B18))+(B19))+(B20)</f>
        <v>0</v>
      </c>
      <c r="C21" s="9" t="s">
        <v>71</v>
      </c>
    </row>
    <row r="22" spans="1:3" ht="15.75" customHeight="1">
      <c r="A22" s="3" t="s">
        <v>72</v>
      </c>
      <c r="B22" s="7">
        <f>(B15)+(B21)</f>
        <v>125349.57999999999</v>
      </c>
    </row>
    <row r="23" spans="1:3" ht="15.75" customHeight="1">
      <c r="A23" s="3" t="s">
        <v>73</v>
      </c>
      <c r="B23" s="4"/>
    </row>
    <row r="24" spans="1:3" ht="15.75" customHeight="1">
      <c r="A24" s="3" t="s">
        <v>74</v>
      </c>
      <c r="B24" s="4"/>
    </row>
    <row r="25" spans="1:3" ht="15.75" customHeight="1">
      <c r="A25" s="3" t="s">
        <v>75</v>
      </c>
      <c r="B25" s="4"/>
    </row>
    <row r="26" spans="1:3" ht="15.75" customHeight="1">
      <c r="A26" s="3" t="s">
        <v>76</v>
      </c>
      <c r="B26" s="4"/>
    </row>
    <row r="27" spans="1:3" ht="15.75" customHeight="1">
      <c r="A27" s="3" t="s">
        <v>77</v>
      </c>
      <c r="B27" s="5">
        <f>26058.33</f>
        <v>26058.33</v>
      </c>
      <c r="C27" s="9" t="s">
        <v>78</v>
      </c>
    </row>
    <row r="28" spans="1:3" ht="15.75" customHeight="1">
      <c r="A28" s="3" t="s">
        <v>79</v>
      </c>
      <c r="B28" s="5">
        <f>-1257.53</f>
        <v>-1257.53</v>
      </c>
      <c r="C28" s="9" t="s">
        <v>80</v>
      </c>
    </row>
    <row r="29" spans="1:3" ht="15.75" customHeight="1">
      <c r="A29" s="3" t="s">
        <v>81</v>
      </c>
      <c r="B29" s="5">
        <f>792.74</f>
        <v>792.74</v>
      </c>
      <c r="C29" s="9" t="s">
        <v>80</v>
      </c>
    </row>
    <row r="30" spans="1:3" ht="15.75" customHeight="1">
      <c r="A30" s="3" t="s">
        <v>82</v>
      </c>
      <c r="B30" s="7">
        <f>((B27)+(B28))+(B29)</f>
        <v>25593.540000000005</v>
      </c>
    </row>
    <row r="31" spans="1:3" ht="15.75" customHeight="1">
      <c r="A31" s="3" t="s">
        <v>83</v>
      </c>
      <c r="B31" s="4"/>
    </row>
    <row r="32" spans="1:3" ht="15.75" customHeight="1">
      <c r="A32" s="3" t="s">
        <v>84</v>
      </c>
      <c r="B32" s="5">
        <f>1822.71</f>
        <v>1822.71</v>
      </c>
      <c r="C32" s="9" t="s">
        <v>85</v>
      </c>
    </row>
    <row r="33" spans="1:3" ht="15.75" customHeight="1">
      <c r="A33" s="3" t="s">
        <v>86</v>
      </c>
      <c r="B33" s="4"/>
    </row>
    <row r="34" spans="1:3" ht="15.75" customHeight="1">
      <c r="A34" s="3" t="s">
        <v>87</v>
      </c>
      <c r="B34" s="5">
        <f>81.2</f>
        <v>81.2</v>
      </c>
      <c r="C34" s="9" t="s">
        <v>85</v>
      </c>
    </row>
    <row r="35" spans="1:3" ht="15.75" customHeight="1">
      <c r="A35" s="3" t="s">
        <v>88</v>
      </c>
      <c r="B35" s="7">
        <f>(B33)+(B34)</f>
        <v>81.2</v>
      </c>
    </row>
    <row r="36" spans="1:3" ht="15.75" customHeight="1">
      <c r="A36" s="3" t="s">
        <v>89</v>
      </c>
      <c r="B36" s="5">
        <f>2307.61</f>
        <v>2307.61</v>
      </c>
      <c r="C36" s="9" t="s">
        <v>85</v>
      </c>
    </row>
    <row r="37" spans="1:3" ht="15.75" customHeight="1">
      <c r="A37" s="3" t="s">
        <v>90</v>
      </c>
      <c r="B37" s="7">
        <f>((B32)+(B35))+(B36)</f>
        <v>4211.5200000000004</v>
      </c>
    </row>
    <row r="38" spans="1:3" ht="15.75" customHeight="1">
      <c r="A38" s="3" t="s">
        <v>91</v>
      </c>
      <c r="B38" s="7">
        <f>(B30)+(B37)</f>
        <v>29805.060000000005</v>
      </c>
    </row>
    <row r="39" spans="1:3" ht="15.75" customHeight="1">
      <c r="A39" s="3" t="s">
        <v>92</v>
      </c>
      <c r="B39" s="4"/>
    </row>
    <row r="40" spans="1:3" ht="15.75" customHeight="1">
      <c r="A40" s="3" t="s">
        <v>93</v>
      </c>
      <c r="B40" s="5">
        <f>20000</f>
        <v>20000</v>
      </c>
      <c r="C40" s="9" t="s">
        <v>94</v>
      </c>
    </row>
    <row r="41" spans="1:3" ht="15.75" customHeight="1">
      <c r="A41" s="3" t="s">
        <v>95</v>
      </c>
      <c r="B41" s="5">
        <f>-645</f>
        <v>-645</v>
      </c>
      <c r="C41" s="9" t="s">
        <v>96</v>
      </c>
    </row>
    <row r="42" spans="1:3" ht="15.75" customHeight="1">
      <c r="A42" s="3" t="s">
        <v>97</v>
      </c>
      <c r="B42" s="7">
        <f>(B40)+(B41)</f>
        <v>19355</v>
      </c>
    </row>
    <row r="43" spans="1:3" ht="15.75" customHeight="1">
      <c r="A43" s="3" t="s">
        <v>98</v>
      </c>
      <c r="B43" s="7">
        <f>(B38)+(B42)</f>
        <v>49160.060000000005</v>
      </c>
    </row>
    <row r="44" spans="1:3" ht="15.75" customHeight="1">
      <c r="A44" s="3" t="s">
        <v>99</v>
      </c>
      <c r="B44" s="4"/>
    </row>
    <row r="45" spans="1:3" ht="15.75" customHeight="1">
      <c r="A45" s="3" t="s">
        <v>100</v>
      </c>
      <c r="B45" s="5">
        <f>8794.05</f>
        <v>8794.0499999999993</v>
      </c>
    </row>
    <row r="46" spans="1:3" ht="15.75" customHeight="1">
      <c r="A46" s="3" t="s">
        <v>101</v>
      </c>
      <c r="B46" s="5">
        <f>15904.95</f>
        <v>15904.95</v>
      </c>
    </row>
    <row r="47" spans="1:3" ht="15.75" customHeight="1">
      <c r="A47" s="3" t="s">
        <v>102</v>
      </c>
      <c r="B47" s="5">
        <f>-172059.93</f>
        <v>-172059.93</v>
      </c>
    </row>
    <row r="48" spans="1:3" ht="15.75" customHeight="1">
      <c r="A48" s="3" t="s">
        <v>103</v>
      </c>
      <c r="B48" s="5">
        <f>151329.8</f>
        <v>151329.79999999999</v>
      </c>
    </row>
    <row r="49" spans="1:2" ht="15.75" customHeight="1">
      <c r="A49" s="3" t="s">
        <v>104</v>
      </c>
      <c r="B49" s="5">
        <f>72220.65</f>
        <v>72220.649999999994</v>
      </c>
    </row>
    <row r="50" spans="1:2" ht="15.75" customHeight="1">
      <c r="A50" s="3" t="s">
        <v>105</v>
      </c>
      <c r="B50" s="7">
        <f>((((B45)+(B46))+(B47))+(B48))+(B49)</f>
        <v>76189.51999999999</v>
      </c>
    </row>
    <row r="51" spans="1:2" ht="15.75" customHeight="1">
      <c r="A51" s="3" t="s">
        <v>106</v>
      </c>
      <c r="B51" s="7">
        <f>(B43)+(B50)</f>
        <v>125349.57999999999</v>
      </c>
    </row>
    <row r="52" spans="1:2" ht="15.75" customHeight="1">
      <c r="A52" s="3"/>
      <c r="B52" s="4"/>
    </row>
    <row r="53" spans="1:2" ht="15.75" customHeight="1"/>
    <row r="54" spans="1:2" ht="15.75" customHeight="1"/>
    <row r="55" spans="1:2" ht="15.75" customHeight="1">
      <c r="A55" s="26" t="s">
        <v>107</v>
      </c>
      <c r="B55" s="22"/>
    </row>
    <row r="56" spans="1:2" ht="15.75" customHeight="1"/>
    <row r="57" spans="1:2" ht="15.75" customHeight="1"/>
    <row r="58" spans="1:2" ht="15.75" customHeight="1"/>
    <row r="59" spans="1:2" ht="15.75" customHeight="1"/>
    <row r="60" spans="1:2" ht="15.75" customHeight="1"/>
    <row r="61" spans="1:2" ht="15.75" customHeight="1"/>
    <row r="62" spans="1:2" ht="15.75" customHeight="1"/>
    <row r="63" spans="1:2" ht="15.75" customHeight="1"/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A2:B2"/>
    <mergeCell ref="A3:B3"/>
    <mergeCell ref="A55:B5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Queries</vt:lpstr>
      <vt:lpstr>P&amp;L report-2022</vt:lpstr>
      <vt:lpstr>Balance Sheet-2022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Jimmie Needles</cp:lastModifiedBy>
  <dcterms:modified xsi:type="dcterms:W3CDTF">2023-11-05T20:30:50Z</dcterms:modified>
</cp:coreProperties>
</file>